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Fixtures" sheetId="1" r:id="rId1"/>
    <sheet name="JohnBugejaTributeWomenGames" sheetId="2" r:id="rId2"/>
    <sheet name="Super Cup Women" sheetId="3" r:id="rId3"/>
    <sheet name="Super League - Women" sheetId="4" r:id="rId4"/>
    <sheet name="1st Division League - Women" sheetId="5" r:id="rId5"/>
    <sheet name="Super League - Men" sheetId="6" r:id="rId6"/>
    <sheet name="Christmas Cup - Women" sheetId="7" r:id="rId7"/>
    <sheet name="Under 18 League - Women" sheetId="8" r:id="rId8"/>
    <sheet name="Under 16 League - Women" sheetId="9" r:id="rId9"/>
    <sheet name="Under 14 League - Women" sheetId="10" r:id="rId10"/>
    <sheet name="National Cup Women" sheetId="11" r:id="rId11"/>
  </sheets>
  <definedNames/>
  <calcPr fullCalcOnLoad="1"/>
</workbook>
</file>

<file path=xl/sharedStrings.xml><?xml version="1.0" encoding="utf-8"?>
<sst xmlns="http://schemas.openxmlformats.org/spreadsheetml/2006/main" count="1794" uniqueCount="330">
  <si>
    <t>Opponents</t>
  </si>
  <si>
    <t>SetScores</t>
  </si>
  <si>
    <t>Ranking Group 1</t>
  </si>
  <si>
    <t>Ranking</t>
  </si>
  <si>
    <t>Matches</t>
  </si>
  <si>
    <t>Sets</t>
  </si>
  <si>
    <t>Points</t>
  </si>
  <si>
    <t>Results Breakdown</t>
  </si>
  <si>
    <t>Game</t>
  </si>
  <si>
    <t>Category</t>
  </si>
  <si>
    <t>Home Team</t>
  </si>
  <si>
    <t>Away Team</t>
  </si>
  <si>
    <t>Total</t>
  </si>
  <si>
    <t>#</t>
  </si>
  <si>
    <t>Team</t>
  </si>
  <si>
    <t>Won</t>
  </si>
  <si>
    <t>Lost</t>
  </si>
  <si>
    <t>W/O</t>
  </si>
  <si>
    <t>Ratio</t>
  </si>
  <si>
    <t>3-0</t>
  </si>
  <si>
    <t>3-1</t>
  </si>
  <si>
    <t>3-2</t>
  </si>
  <si>
    <t>2-3</t>
  </si>
  <si>
    <t>1-3</t>
  </si>
  <si>
    <t>0-3</t>
  </si>
  <si>
    <t>SCW-01</t>
  </si>
  <si>
    <t>Super Cup Final</t>
  </si>
  <si>
    <t>Balzan Flyers Crosscraft</t>
  </si>
  <si>
    <t>Fleur de Lys 1</t>
  </si>
  <si>
    <t>Winners</t>
  </si>
  <si>
    <t>Paola</t>
  </si>
  <si>
    <t>JBTW-01</t>
  </si>
  <si>
    <t>1st Round</t>
  </si>
  <si>
    <t>Balzan Flyers</t>
  </si>
  <si>
    <t>JBTW-02</t>
  </si>
  <si>
    <t>Kavallieri</t>
  </si>
  <si>
    <t>Mgarr Volley</t>
  </si>
  <si>
    <t>JBTW-03</t>
  </si>
  <si>
    <t xml:space="preserve">Birkirkara </t>
  </si>
  <si>
    <t>Birkirkara</t>
  </si>
  <si>
    <t>JBTW-04</t>
  </si>
  <si>
    <t>Paola Volley</t>
  </si>
  <si>
    <t>Swieqi Phoenix</t>
  </si>
  <si>
    <t>JBTW-05</t>
  </si>
  <si>
    <t>Zabbar St. Patrick's</t>
  </si>
  <si>
    <t>JBTW-06</t>
  </si>
  <si>
    <t>Sliema Wanderers</t>
  </si>
  <si>
    <t>JBTW-07</t>
  </si>
  <si>
    <t>JBTW-08</t>
  </si>
  <si>
    <t>Ranking Group 2</t>
  </si>
  <si>
    <t xml:space="preserve">  </t>
  </si>
  <si>
    <t>JBTW-09</t>
  </si>
  <si>
    <t>JBTW-10</t>
  </si>
  <si>
    <t>FIXTURES 2017/8</t>
  </si>
  <si>
    <t>(Note: MVA will make it's best to keep to the scheduled dates and time, but fixtures are subject to change due to unforeseen circumstances)</t>
  </si>
  <si>
    <t>Date</t>
  </si>
  <si>
    <t>Time</t>
  </si>
  <si>
    <t>Venue</t>
  </si>
  <si>
    <t>Result</t>
  </si>
  <si>
    <t>JBTW-11</t>
  </si>
  <si>
    <t>Remarks</t>
  </si>
  <si>
    <t>September</t>
  </si>
  <si>
    <t>Saturday</t>
  </si>
  <si>
    <t>13:00</t>
  </si>
  <si>
    <t>Cottonera</t>
  </si>
  <si>
    <t>Mater Dei Tournament</t>
  </si>
  <si>
    <t>13:30</t>
  </si>
  <si>
    <t>15:30</t>
  </si>
  <si>
    <t>Sunday</t>
  </si>
  <si>
    <t>JBTW-12</t>
  </si>
  <si>
    <t>October</t>
  </si>
  <si>
    <t>JBTW-13</t>
  </si>
  <si>
    <t>JBTW-14</t>
  </si>
  <si>
    <t>17:30</t>
  </si>
  <si>
    <t>November</t>
  </si>
  <si>
    <t>Friday</t>
  </si>
  <si>
    <t>20:30</t>
  </si>
  <si>
    <t>JBTW-15</t>
  </si>
  <si>
    <t>JBTW-16</t>
  </si>
  <si>
    <t>Postponed</t>
  </si>
  <si>
    <t>JBTW-17</t>
  </si>
  <si>
    <t>JBTW-18</t>
  </si>
  <si>
    <t>JBTW-19</t>
  </si>
  <si>
    <t>JBTW-20</t>
  </si>
  <si>
    <t>JBTW-21</t>
  </si>
  <si>
    <t>Semi-Final 1</t>
  </si>
  <si>
    <t>JBTW-22</t>
  </si>
  <si>
    <t>Semi-Final 2</t>
  </si>
  <si>
    <t>JBTW-23</t>
  </si>
  <si>
    <t>Final 3/4</t>
  </si>
  <si>
    <t>JBTW-24</t>
  </si>
  <si>
    <t>Final 1/2</t>
  </si>
  <si>
    <t>Cottonera Not Available</t>
  </si>
  <si>
    <t>December</t>
  </si>
  <si>
    <t>Christmas Break</t>
  </si>
  <si>
    <t>January</t>
  </si>
  <si>
    <t>09:30</t>
  </si>
  <si>
    <t>Day 1</t>
  </si>
  <si>
    <t>Under 14 League</t>
  </si>
  <si>
    <t>10:00</t>
  </si>
  <si>
    <t>Day 2</t>
  </si>
  <si>
    <t>Next Game</t>
  </si>
  <si>
    <t xml:space="preserve">Under 16 </t>
  </si>
  <si>
    <t>February</t>
  </si>
  <si>
    <t>Day 3</t>
  </si>
  <si>
    <t>March</t>
  </si>
  <si>
    <t>Day 4</t>
  </si>
  <si>
    <t>Easter Break</t>
  </si>
  <si>
    <t>Day 5</t>
  </si>
  <si>
    <t>April</t>
  </si>
  <si>
    <t>Tuesday</t>
  </si>
  <si>
    <t>Thursday</t>
  </si>
  <si>
    <t>Day 6</t>
  </si>
  <si>
    <t>Day 7</t>
  </si>
  <si>
    <t>(If Needed)</t>
  </si>
  <si>
    <t>Day 8</t>
  </si>
  <si>
    <t>Day 9</t>
  </si>
  <si>
    <t>Day 10</t>
  </si>
  <si>
    <t>Set Scores</t>
  </si>
  <si>
    <t>SLW-01</t>
  </si>
  <si>
    <t>Fleur de Lys Royal Panda</t>
  </si>
  <si>
    <t>SLW-02</t>
  </si>
  <si>
    <t>SLW-03</t>
  </si>
  <si>
    <t>SLW-04</t>
  </si>
  <si>
    <t>SLW-05</t>
  </si>
  <si>
    <t>SLW-06</t>
  </si>
  <si>
    <t>SLW-07</t>
  </si>
  <si>
    <t>SLW-08</t>
  </si>
  <si>
    <t>SLW-09</t>
  </si>
  <si>
    <t>SLW-10</t>
  </si>
  <si>
    <t>SLW-11</t>
  </si>
  <si>
    <t>2nd Round</t>
  </si>
  <si>
    <t>SLW-12</t>
  </si>
  <si>
    <t>SLW-13</t>
  </si>
  <si>
    <t>SLW-14</t>
  </si>
  <si>
    <t>SLW-15</t>
  </si>
  <si>
    <t>SLW-16</t>
  </si>
  <si>
    <t>SLW-17</t>
  </si>
  <si>
    <t>SLW-18</t>
  </si>
  <si>
    <t>SLW-19</t>
  </si>
  <si>
    <t>SLW-20</t>
  </si>
  <si>
    <t>SLW-21</t>
  </si>
  <si>
    <t>3rd Round</t>
  </si>
  <si>
    <t>SLW-22</t>
  </si>
  <si>
    <t>SLW-23</t>
  </si>
  <si>
    <t>SLW-24</t>
  </si>
  <si>
    <t>SLW-25</t>
  </si>
  <si>
    <t>SLW-26</t>
  </si>
  <si>
    <t>SLW-27</t>
  </si>
  <si>
    <t>SLW-28</t>
  </si>
  <si>
    <t>SLW-29</t>
  </si>
  <si>
    <t>SLW-30</t>
  </si>
  <si>
    <t>1LW-01</t>
  </si>
  <si>
    <t>1LW-02</t>
  </si>
  <si>
    <t>Mellieha</t>
  </si>
  <si>
    <t>Fleur de Lys Swatch</t>
  </si>
  <si>
    <t>1LW-03</t>
  </si>
  <si>
    <t>1LW-04</t>
  </si>
  <si>
    <t>1LW-05</t>
  </si>
  <si>
    <t>1LW-06</t>
  </si>
  <si>
    <t>1LW-07</t>
  </si>
  <si>
    <t>SLM-01</t>
  </si>
  <si>
    <t>Aloysians Ice</t>
  </si>
  <si>
    <t>Valletta Mapei</t>
  </si>
  <si>
    <t>1LW-08</t>
  </si>
  <si>
    <t>1LW-09</t>
  </si>
  <si>
    <t>1LW-10</t>
  </si>
  <si>
    <t>1LW-11</t>
  </si>
  <si>
    <t>SLM-02</t>
  </si>
  <si>
    <t>Aloysians Fire</t>
  </si>
  <si>
    <t>1LW-12</t>
  </si>
  <si>
    <t>1LW-13</t>
  </si>
  <si>
    <t>1LW-14</t>
  </si>
  <si>
    <t>1LW-15</t>
  </si>
  <si>
    <t>1LW-16</t>
  </si>
  <si>
    <t>1LW-17</t>
  </si>
  <si>
    <t>1LW-18</t>
  </si>
  <si>
    <t>1LW-19</t>
  </si>
  <si>
    <t>1LW-20</t>
  </si>
  <si>
    <t>1LW-21</t>
  </si>
  <si>
    <t>1LW-22</t>
  </si>
  <si>
    <t>1LW-23</t>
  </si>
  <si>
    <t>1LW-24</t>
  </si>
  <si>
    <t>1LW-25</t>
  </si>
  <si>
    <t>1LW-26</t>
  </si>
  <si>
    <t>1LW-27</t>
  </si>
  <si>
    <t>1LW-28</t>
  </si>
  <si>
    <t>1LW-29</t>
  </si>
  <si>
    <t>SLM-03</t>
  </si>
  <si>
    <t>1LW-30</t>
  </si>
  <si>
    <t>1LW-31</t>
  </si>
  <si>
    <t>1LW-32</t>
  </si>
  <si>
    <t>1LW-33</t>
  </si>
  <si>
    <t>1LW-34</t>
  </si>
  <si>
    <t>1LW-35</t>
  </si>
  <si>
    <t>1LW-36</t>
  </si>
  <si>
    <t>1LW-37</t>
  </si>
  <si>
    <t>1LW-38</t>
  </si>
  <si>
    <t>1LW-39</t>
  </si>
  <si>
    <t>1LW-40</t>
  </si>
  <si>
    <t>1LW-41</t>
  </si>
  <si>
    <t>1LW-42</t>
  </si>
  <si>
    <t>SLM-04</t>
  </si>
  <si>
    <t>SLM-05</t>
  </si>
  <si>
    <t>SLM-06</t>
  </si>
  <si>
    <t>SLM-07</t>
  </si>
  <si>
    <t>SLM-08</t>
  </si>
  <si>
    <t>SLM-09</t>
  </si>
  <si>
    <t>SLM-10</t>
  </si>
  <si>
    <t>SLM-11</t>
  </si>
  <si>
    <t>SLM-12</t>
  </si>
  <si>
    <t>SLM-13</t>
  </si>
  <si>
    <t>SLM-14</t>
  </si>
  <si>
    <t>SLM-15</t>
  </si>
  <si>
    <t>SLM-16</t>
  </si>
  <si>
    <t>SLM-17</t>
  </si>
  <si>
    <t>SLM-18</t>
  </si>
  <si>
    <t>SLM-19</t>
  </si>
  <si>
    <t>4th Round</t>
  </si>
  <si>
    <t>SLM-20</t>
  </si>
  <si>
    <t>SLM-21</t>
  </si>
  <si>
    <t>SLM-22</t>
  </si>
  <si>
    <t>SLM-23</t>
  </si>
  <si>
    <t>SLM-24</t>
  </si>
  <si>
    <t>CCW-01</t>
  </si>
  <si>
    <t>CCW-02</t>
  </si>
  <si>
    <t>CCW-03</t>
  </si>
  <si>
    <t>CCW-04</t>
  </si>
  <si>
    <t>CCW-05</t>
  </si>
  <si>
    <t>CCW-06</t>
  </si>
  <si>
    <t>CCW-07</t>
  </si>
  <si>
    <t>CCW-08</t>
  </si>
  <si>
    <t>CCW-09</t>
  </si>
  <si>
    <t>CCW-10</t>
  </si>
  <si>
    <t>18LW-01</t>
  </si>
  <si>
    <t>18LW-02</t>
  </si>
  <si>
    <t>18LW-03</t>
  </si>
  <si>
    <t>18LW-04</t>
  </si>
  <si>
    <t>18LW-05</t>
  </si>
  <si>
    <t>18LW-06</t>
  </si>
  <si>
    <t>18LW-07</t>
  </si>
  <si>
    <t>18LW-08</t>
  </si>
  <si>
    <t>18LW-09</t>
  </si>
  <si>
    <t>18LW-10</t>
  </si>
  <si>
    <t>18LW-11</t>
  </si>
  <si>
    <t>18LW-12</t>
  </si>
  <si>
    <t>2-0</t>
  </si>
  <si>
    <t>2-1</t>
  </si>
  <si>
    <t>1-2</t>
  </si>
  <si>
    <t>0-2</t>
  </si>
  <si>
    <t>14LW-01</t>
  </si>
  <si>
    <t>SportMalta</t>
  </si>
  <si>
    <t>Swieqi Phoenix Young Stars</t>
  </si>
  <si>
    <t>14LW-02</t>
  </si>
  <si>
    <t>Birkirkara Reds</t>
  </si>
  <si>
    <t>14LW-03</t>
  </si>
  <si>
    <t>Fleur de Lys</t>
  </si>
  <si>
    <t>14LW-04</t>
  </si>
  <si>
    <t>Birkirkara Yellows</t>
  </si>
  <si>
    <t>14LW-05</t>
  </si>
  <si>
    <t>Swieqi Phoenix Ninjas</t>
  </si>
  <si>
    <t>14LW-06</t>
  </si>
  <si>
    <t>*</t>
  </si>
  <si>
    <t>14LW-07</t>
  </si>
  <si>
    <t>14LW-08</t>
  </si>
  <si>
    <t>14LW-09</t>
  </si>
  <si>
    <t>14LW-10</t>
  </si>
  <si>
    <t>14LW-11</t>
  </si>
  <si>
    <t>14LW-12</t>
  </si>
  <si>
    <t>14LW-13</t>
  </si>
  <si>
    <t>14LW-14</t>
  </si>
  <si>
    <t>14LW-15</t>
  </si>
  <si>
    <t>* Not Part of the Official Competition</t>
  </si>
  <si>
    <t>14LW-16</t>
  </si>
  <si>
    <t>14LW-17</t>
  </si>
  <si>
    <t>14LW-18</t>
  </si>
  <si>
    <t>14LW-19</t>
  </si>
  <si>
    <t>14LW-20</t>
  </si>
  <si>
    <t>Preliminary Round</t>
  </si>
  <si>
    <t>Quarter Finals</t>
  </si>
  <si>
    <t>Semi-Finals</t>
  </si>
  <si>
    <t>Final</t>
  </si>
  <si>
    <t>WNC-01</t>
  </si>
  <si>
    <t>Preliminary Round - 1</t>
  </si>
  <si>
    <t>WNC-02</t>
  </si>
  <si>
    <t>Preliminary Round - 2</t>
  </si>
  <si>
    <t>WNC-03</t>
  </si>
  <si>
    <t>Quarter Final 1</t>
  </si>
  <si>
    <t>Winner Preliminary Round - 1</t>
  </si>
  <si>
    <t>Paola Volley /    Sliema Wanderers</t>
  </si>
  <si>
    <t>WNC-04</t>
  </si>
  <si>
    <t>Quarter Final 2</t>
  </si>
  <si>
    <t>Fleur de Lys 2</t>
  </si>
  <si>
    <t xml:space="preserve"> </t>
  </si>
  <si>
    <t>WNC-05</t>
  </si>
  <si>
    <t>Quarter Final 3</t>
  </si>
  <si>
    <t>WNC-06</t>
  </si>
  <si>
    <t>Quarter Final 4</t>
  </si>
  <si>
    <t>Winner Preliminary Round - 2</t>
  </si>
  <si>
    <t>Winner Quarter Final 1</t>
  </si>
  <si>
    <t>WNC-07</t>
  </si>
  <si>
    <t>Semi Final 1</t>
  </si>
  <si>
    <t>Winner Quarter Final 2</t>
  </si>
  <si>
    <t>WNC-08</t>
  </si>
  <si>
    <t>Semi Final 2</t>
  </si>
  <si>
    <t>Winner Quarter Final 3</t>
  </si>
  <si>
    <t>Winner Quarter Final 4</t>
  </si>
  <si>
    <t>WNC-09</t>
  </si>
  <si>
    <t>Final 1</t>
  </si>
  <si>
    <t>Winner Semi Final 1</t>
  </si>
  <si>
    <t>Winner Semi Final 2</t>
  </si>
  <si>
    <t>WNC-10</t>
  </si>
  <si>
    <t>Final 2</t>
  </si>
  <si>
    <t>WNC-11</t>
  </si>
  <si>
    <t>Final 3</t>
  </si>
  <si>
    <t>Winner Semi-Final 1</t>
  </si>
  <si>
    <t>Winner</t>
  </si>
  <si>
    <t>Balzan Flyers CrossCraft</t>
  </si>
  <si>
    <t>Zabbar St. Patrtick's/ Kavallieri</t>
  </si>
  <si>
    <t>Swieqi Phoenix Challengers</t>
  </si>
  <si>
    <t>Swieqi Phoenix Block N Roll</t>
  </si>
  <si>
    <t>18LW-13</t>
  </si>
  <si>
    <t>5th Round</t>
  </si>
  <si>
    <t>18LW-14</t>
  </si>
  <si>
    <t>18LW-15</t>
  </si>
  <si>
    <t>18LW-16</t>
  </si>
  <si>
    <t>6th Round</t>
  </si>
  <si>
    <t>18LW-17</t>
  </si>
  <si>
    <t>18LW-18</t>
  </si>
  <si>
    <t>Next Match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</si>
</sst>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/m/yyyy"/>
    <numFmt numFmtId="165" formatCode="_-&quot;£&quot;* #,##0.00_-;\-&quot;£&quot;* #,##0.00_-;_-&quot;£&quot;* &quot;-&quot;??_-;_-@"/>
  </numFmts>
  <fonts count="63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Times New Roman"/>
      <family val="0"/>
    </font>
    <font>
      <b/>
      <sz val="10"/>
      <name val="Times New Roman"/>
      <family val="0"/>
    </font>
    <font>
      <sz val="10"/>
      <name val="Arial"/>
      <family val="0"/>
    </font>
    <font>
      <sz val="10"/>
      <color indexed="8"/>
      <name val="Times New Roman"/>
      <family val="0"/>
    </font>
    <font>
      <sz val="10"/>
      <color indexed="9"/>
      <name val="Times New Roman"/>
      <family val="0"/>
    </font>
    <font>
      <sz val="12"/>
      <name val="Arial"/>
      <family val="0"/>
    </font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b/>
      <sz val="11"/>
      <name val="Times New Roman"/>
      <family val="0"/>
    </font>
    <font>
      <sz val="11"/>
      <name val="Arial"/>
      <family val="0"/>
    </font>
    <font>
      <sz val="9"/>
      <name val="Arial"/>
      <family val="0"/>
    </font>
    <font>
      <b/>
      <sz val="12"/>
      <name val="Times New Roman"/>
      <family val="0"/>
    </font>
    <font>
      <b/>
      <sz val="20"/>
      <name val="Arial"/>
      <family val="0"/>
    </font>
    <font>
      <b/>
      <sz val="20"/>
      <name val="Times New Roman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Inconsolata"/>
      <family val="0"/>
    </font>
    <font>
      <b/>
      <i/>
      <sz val="10"/>
      <color indexed="8"/>
      <name val="Times New Roman"/>
      <family val="0"/>
    </font>
    <font>
      <u val="single"/>
      <sz val="10"/>
      <color indexed="30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0"/>
    </font>
    <font>
      <sz val="10"/>
      <color rgb="FFFFFFFF"/>
      <name val="Times New Roman"/>
      <family val="0"/>
    </font>
    <font>
      <b/>
      <sz val="10"/>
      <color rgb="FF000000"/>
      <name val="Times New Roman"/>
      <family val="0"/>
    </font>
    <font>
      <sz val="12"/>
      <color rgb="FF000000"/>
      <name val="Times New Roman"/>
      <family val="0"/>
    </font>
    <font>
      <b/>
      <i/>
      <sz val="10"/>
      <color rgb="FF000000"/>
      <name val="Times New Roman"/>
      <family val="0"/>
    </font>
    <font>
      <u val="single"/>
      <sz val="12"/>
      <color rgb="FF0000FF"/>
      <name val="Times New Roman"/>
      <family val="0"/>
    </font>
    <font>
      <sz val="11"/>
      <color rgb="FF000000"/>
      <name val="Inconsolata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>
        <color indexed="63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5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34" borderId="14" xfId="0" applyFont="1" applyFill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0" xfId="0" applyFont="1" applyAlignment="1">
      <alignment/>
    </xf>
    <xf numFmtId="2" fontId="3" fillId="33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49" fontId="13" fillId="38" borderId="10" xfId="0" applyNumberFormat="1" applyFont="1" applyFill="1" applyBorder="1" applyAlignment="1">
      <alignment horizontal="center" vertical="center"/>
    </xf>
    <xf numFmtId="0" fontId="13" fillId="38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0" fontId="14" fillId="0" borderId="0" xfId="0" applyFont="1" applyAlignment="1">
      <alignment/>
    </xf>
    <xf numFmtId="0" fontId="8" fillId="39" borderId="10" xfId="0" applyFont="1" applyFill="1" applyBorder="1" applyAlignment="1">
      <alignment horizontal="center" vertical="center"/>
    </xf>
    <xf numFmtId="16" fontId="8" fillId="39" borderId="18" xfId="0" applyNumberFormat="1" applyFont="1" applyFill="1" applyBorder="1" applyAlignment="1">
      <alignment horizontal="center" vertical="center"/>
    </xf>
    <xf numFmtId="49" fontId="8" fillId="39" borderId="1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8" fillId="35" borderId="10" xfId="0" applyFont="1" applyFill="1" applyBorder="1" applyAlignment="1">
      <alignment horizontal="center" vertical="center"/>
    </xf>
    <xf numFmtId="16" fontId="8" fillId="35" borderId="18" xfId="0" applyNumberFormat="1" applyFont="1" applyFill="1" applyBorder="1" applyAlignment="1">
      <alignment horizontal="center" vertical="center"/>
    </xf>
    <xf numFmtId="49" fontId="8" fillId="35" borderId="18" xfId="0" applyNumberFormat="1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16" fontId="8" fillId="0" borderId="0" xfId="0" applyNumberFormat="1" applyFont="1" applyAlignment="1">
      <alignment horizontal="center" vertical="center"/>
    </xf>
    <xf numFmtId="0" fontId="2" fillId="34" borderId="19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16" fontId="8" fillId="0" borderId="11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8" fillId="40" borderId="10" xfId="0" applyFont="1" applyFill="1" applyBorder="1" applyAlignment="1">
      <alignment horizontal="center" vertical="center"/>
    </xf>
    <xf numFmtId="16" fontId="8" fillId="40" borderId="18" xfId="0" applyNumberFormat="1" applyFont="1" applyFill="1" applyBorder="1" applyAlignment="1">
      <alignment horizontal="center" vertical="center"/>
    </xf>
    <xf numFmtId="49" fontId="8" fillId="40" borderId="18" xfId="0" applyNumberFormat="1" applyFont="1" applyFill="1" applyBorder="1" applyAlignment="1">
      <alignment horizontal="center" vertical="center"/>
    </xf>
    <xf numFmtId="0" fontId="13" fillId="40" borderId="10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center"/>
    </xf>
    <xf numFmtId="16" fontId="8" fillId="41" borderId="18" xfId="0" applyNumberFormat="1" applyFont="1" applyFill="1" applyBorder="1" applyAlignment="1">
      <alignment horizontal="center" vertical="center"/>
    </xf>
    <xf numFmtId="49" fontId="8" fillId="41" borderId="18" xfId="0" applyNumberFormat="1" applyFont="1" applyFill="1" applyBorder="1" applyAlignment="1">
      <alignment horizontal="center" vertical="center"/>
    </xf>
    <xf numFmtId="0" fontId="13" fillId="41" borderId="10" xfId="0" applyFont="1" applyFill="1" applyBorder="1" applyAlignment="1">
      <alignment horizontal="center" vertical="center"/>
    </xf>
    <xf numFmtId="0" fontId="13" fillId="39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/>
    </xf>
    <xf numFmtId="16" fontId="8" fillId="42" borderId="18" xfId="0" applyNumberFormat="1" applyFont="1" applyFill="1" applyBorder="1" applyAlignment="1">
      <alignment horizontal="center" vertical="center"/>
    </xf>
    <xf numFmtId="49" fontId="8" fillId="42" borderId="18" xfId="0" applyNumberFormat="1" applyFont="1" applyFill="1" applyBorder="1" applyAlignment="1">
      <alignment horizontal="center" vertical="center"/>
    </xf>
    <xf numFmtId="0" fontId="13" fillId="42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8" fillId="0" borderId="10" xfId="0" applyFont="1" applyBorder="1" applyAlignment="1">
      <alignment horizontal="center" wrapText="1"/>
    </xf>
    <xf numFmtId="0" fontId="8" fillId="43" borderId="10" xfId="0" applyFont="1" applyFill="1" applyBorder="1" applyAlignment="1">
      <alignment horizontal="center" vertical="center"/>
    </xf>
    <xf numFmtId="16" fontId="8" fillId="43" borderId="18" xfId="0" applyNumberFormat="1" applyFont="1" applyFill="1" applyBorder="1" applyAlignment="1">
      <alignment horizontal="center" vertical="center"/>
    </xf>
    <xf numFmtId="49" fontId="8" fillId="43" borderId="18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13" fillId="43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0" fontId="56" fillId="0" borderId="0" xfId="0" applyFont="1" applyAlignment="1">
      <alignment vertical="top"/>
    </xf>
    <xf numFmtId="2" fontId="56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165" fontId="8" fillId="39" borderId="10" xfId="0" applyNumberFormat="1" applyFont="1" applyFill="1" applyBorder="1" applyAlignment="1">
      <alignment horizontal="center" vertical="center"/>
    </xf>
    <xf numFmtId="165" fontId="8" fillId="39" borderId="18" xfId="0" applyNumberFormat="1" applyFont="1" applyFill="1" applyBorder="1" applyAlignment="1">
      <alignment horizontal="center" vertical="center"/>
    </xf>
    <xf numFmtId="165" fontId="11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8" fillId="44" borderId="10" xfId="0" applyFont="1" applyFill="1" applyBorder="1" applyAlignment="1">
      <alignment horizontal="center" vertical="center"/>
    </xf>
    <xf numFmtId="16" fontId="8" fillId="44" borderId="18" xfId="0" applyNumberFormat="1" applyFont="1" applyFill="1" applyBorder="1" applyAlignment="1">
      <alignment horizontal="center" vertical="center"/>
    </xf>
    <xf numFmtId="49" fontId="8" fillId="44" borderId="18" xfId="0" applyNumberFormat="1" applyFont="1" applyFill="1" applyBorder="1" applyAlignment="1">
      <alignment horizontal="center" vertical="center"/>
    </xf>
    <xf numFmtId="0" fontId="13" fillId="44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45" borderId="10" xfId="0" applyFont="1" applyFill="1" applyBorder="1" applyAlignment="1">
      <alignment horizontal="center" vertical="center"/>
    </xf>
    <xf numFmtId="16" fontId="8" fillId="45" borderId="18" xfId="0" applyNumberFormat="1" applyFont="1" applyFill="1" applyBorder="1" applyAlignment="1">
      <alignment horizontal="center" vertical="center"/>
    </xf>
    <xf numFmtId="49" fontId="8" fillId="45" borderId="18" xfId="0" applyNumberFormat="1" applyFont="1" applyFill="1" applyBorder="1" applyAlignment="1">
      <alignment horizontal="center" vertical="center"/>
    </xf>
    <xf numFmtId="0" fontId="13" fillId="45" borderId="10" xfId="0" applyFont="1" applyFill="1" applyBorder="1" applyAlignment="1">
      <alignment horizontal="center" vertical="center"/>
    </xf>
    <xf numFmtId="0" fontId="13" fillId="39" borderId="10" xfId="0" applyFont="1" applyFill="1" applyBorder="1" applyAlignment="1">
      <alignment horizontal="center" vertical="center"/>
    </xf>
    <xf numFmtId="165" fontId="10" fillId="0" borderId="0" xfId="0" applyNumberFormat="1" applyFont="1" applyAlignment="1">
      <alignment/>
    </xf>
    <xf numFmtId="0" fontId="13" fillId="41" borderId="10" xfId="0" applyFont="1" applyFill="1" applyBorder="1" applyAlignment="1">
      <alignment horizontal="center" vertical="center"/>
    </xf>
    <xf numFmtId="0" fontId="13" fillId="43" borderId="10" xfId="0" applyFont="1" applyFill="1" applyBorder="1" applyAlignment="1">
      <alignment horizontal="center" vertical="center"/>
    </xf>
    <xf numFmtId="0" fontId="13" fillId="42" borderId="10" xfId="0" applyFont="1" applyFill="1" applyBorder="1" applyAlignment="1">
      <alignment horizontal="center" vertical="center"/>
    </xf>
    <xf numFmtId="165" fontId="8" fillId="42" borderId="18" xfId="0" applyNumberFormat="1" applyFont="1" applyFill="1" applyBorder="1" applyAlignment="1">
      <alignment horizontal="center" vertical="center"/>
    </xf>
    <xf numFmtId="165" fontId="8" fillId="42" borderId="10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56" fillId="0" borderId="0" xfId="0" applyFont="1" applyAlignment="1">
      <alignment horizontal="center"/>
    </xf>
    <xf numFmtId="1" fontId="56" fillId="0" borderId="0" xfId="0" applyNumberFormat="1" applyFont="1" applyAlignment="1">
      <alignment horizontal="center"/>
    </xf>
    <xf numFmtId="2" fontId="56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33" borderId="18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60" fillId="0" borderId="0" xfId="0" applyFont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/>
    </xf>
    <xf numFmtId="0" fontId="58" fillId="0" borderId="21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6" fillId="0" borderId="21" xfId="0" applyFont="1" applyBorder="1" applyAlignment="1">
      <alignment/>
    </xf>
    <xf numFmtId="0" fontId="56" fillId="0" borderId="16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9" fontId="8" fillId="0" borderId="0" xfId="0" applyNumberFormat="1" applyFont="1" applyAlignment="1">
      <alignment horizontal="center" vertical="center"/>
    </xf>
    <xf numFmtId="0" fontId="15" fillId="46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3" fillId="39" borderId="11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0" fontId="4" fillId="0" borderId="13" xfId="0" applyFont="1" applyBorder="1" applyAlignment="1">
      <alignment/>
    </xf>
    <xf numFmtId="0" fontId="6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/>
    </xf>
    <xf numFmtId="0" fontId="13" fillId="45" borderId="11" xfId="0" applyFont="1" applyFill="1" applyBorder="1" applyAlignment="1">
      <alignment horizontal="center" vertical="center"/>
    </xf>
    <xf numFmtId="0" fontId="13" fillId="44" borderId="11" xfId="0" applyFont="1" applyFill="1" applyBorder="1" applyAlignment="1">
      <alignment horizontal="center" vertical="center"/>
    </xf>
    <xf numFmtId="0" fontId="13" fillId="35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64" fontId="13" fillId="47" borderId="0" xfId="0" applyNumberFormat="1" applyFont="1" applyFill="1" applyBorder="1" applyAlignment="1">
      <alignment horizontal="center" vertical="center"/>
    </xf>
    <xf numFmtId="0" fontId="13" fillId="38" borderId="11" xfId="0" applyFont="1" applyFill="1" applyBorder="1" applyAlignment="1">
      <alignment horizontal="center" vertical="center"/>
    </xf>
    <xf numFmtId="0" fontId="4" fillId="0" borderId="25" xfId="0" applyFont="1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62" fillId="34" borderId="0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33" borderId="26" xfId="0" applyFont="1" applyFill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58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/>
    </xf>
    <xf numFmtId="0" fontId="58" fillId="0" borderId="15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942975</xdr:colOff>
      <xdr:row>0</xdr:row>
      <xdr:rowOff>47625</xdr:rowOff>
    </xdr:from>
    <xdr:to>
      <xdr:col>7</xdr:col>
      <xdr:colOff>876300</xdr:colOff>
      <xdr:row>0</xdr:row>
      <xdr:rowOff>1123950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47625"/>
          <a:ext cx="1752600" cy="1076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1"/>
  <sheetViews>
    <sheetView showGridLines="0" tabSelected="1" zoomScalePageLayoutView="0" workbookViewId="0" topLeftCell="A1">
      <pane xSplit="1" ySplit="7" topLeftCell="B26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305" sqref="L305"/>
    </sheetView>
  </sheetViews>
  <sheetFormatPr defaultColWidth="14.421875" defaultRowHeight="15" customHeight="1"/>
  <cols>
    <col min="1" max="1" width="1.421875" style="0" customWidth="1"/>
    <col min="2" max="2" width="10.28125" style="0" customWidth="1"/>
    <col min="3" max="3" width="8.8515625" style="0" customWidth="1"/>
    <col min="4" max="4" width="5.7109375" style="0" customWidth="1"/>
    <col min="5" max="5" width="13.140625" style="0" customWidth="1"/>
    <col min="6" max="6" width="10.28125" style="0" customWidth="1"/>
    <col min="7" max="7" width="27.28125" style="0" customWidth="1"/>
    <col min="8" max="9" width="30.8515625" style="0" customWidth="1"/>
    <col min="10" max="11" width="4.28125" style="0" customWidth="1"/>
    <col min="12" max="12" width="16.7109375" style="0" customWidth="1"/>
    <col min="13" max="17" width="3.00390625" style="0" customWidth="1"/>
    <col min="18" max="18" width="2.00390625" style="0" customWidth="1"/>
    <col min="19" max="19" width="4.00390625" style="0" customWidth="1"/>
    <col min="20" max="21" width="2.00390625" style="0" customWidth="1"/>
    <col min="22" max="22" width="3.00390625" style="0" customWidth="1"/>
    <col min="23" max="26" width="8.00390625" style="0" customWidth="1"/>
  </cols>
  <sheetData>
    <row r="1" spans="1:22" ht="93" customHeight="1">
      <c r="A1" s="36"/>
      <c r="B1" s="135" t="s">
        <v>50</v>
      </c>
      <c r="C1" s="136"/>
      <c r="D1" s="136"/>
      <c r="E1" s="136"/>
      <c r="F1" s="136"/>
      <c r="G1" s="136"/>
      <c r="H1" s="136"/>
      <c r="I1" s="136"/>
      <c r="J1" s="136"/>
      <c r="K1" s="136"/>
      <c r="L1" s="137"/>
      <c r="M1" s="136"/>
      <c r="N1" s="136"/>
      <c r="O1" s="136"/>
      <c r="P1" s="136"/>
      <c r="Q1" s="136"/>
      <c r="R1" s="136"/>
      <c r="S1" s="136"/>
      <c r="T1" s="136"/>
      <c r="U1" s="136"/>
      <c r="V1" s="38"/>
    </row>
    <row r="2" spans="1:22" ht="15.75">
      <c r="A2" s="36"/>
      <c r="B2" s="144" t="str">
        <f>HYPERLINK("http://www.maltavolleyball.org/","http://www.maltavolleyball.org/")</f>
        <v>http://www.maltavolleyball.org/</v>
      </c>
      <c r="C2" s="136"/>
      <c r="D2" s="136"/>
      <c r="E2" s="136"/>
      <c r="F2" s="136"/>
      <c r="G2" s="136"/>
      <c r="H2" s="136"/>
      <c r="I2" s="136"/>
      <c r="J2" s="136"/>
      <c r="K2" s="136"/>
      <c r="L2" s="39"/>
      <c r="M2" s="40"/>
      <c r="N2" s="40"/>
      <c r="O2" s="41"/>
      <c r="P2" s="41"/>
      <c r="Q2" s="41"/>
      <c r="R2" s="41"/>
      <c r="S2" s="41"/>
      <c r="T2" s="41"/>
      <c r="U2" s="41"/>
      <c r="V2" s="38"/>
    </row>
    <row r="3" spans="1:22" ht="15.75">
      <c r="A3" s="36"/>
      <c r="B3" s="145" t="s">
        <v>53</v>
      </c>
      <c r="C3" s="136"/>
      <c r="D3" s="136"/>
      <c r="E3" s="136"/>
      <c r="F3" s="136"/>
      <c r="G3" s="136"/>
      <c r="H3" s="136"/>
      <c r="I3" s="136"/>
      <c r="J3" s="136"/>
      <c r="K3" s="136"/>
      <c r="L3" s="39"/>
      <c r="M3" s="40"/>
      <c r="N3" s="40"/>
      <c r="O3" s="41"/>
      <c r="P3" s="41"/>
      <c r="Q3" s="41"/>
      <c r="R3" s="41"/>
      <c r="S3" s="41"/>
      <c r="T3" s="41"/>
      <c r="U3" s="41"/>
      <c r="V3" s="38"/>
    </row>
    <row r="4" spans="1:22" ht="19.5" customHeight="1">
      <c r="A4" s="36"/>
      <c r="B4" s="152">
        <v>43149</v>
      </c>
      <c r="C4" s="139"/>
      <c r="D4" s="139"/>
      <c r="E4" s="139"/>
      <c r="F4" s="139"/>
      <c r="G4" s="139"/>
      <c r="H4" s="139"/>
      <c r="I4" s="139"/>
      <c r="J4" s="139"/>
      <c r="K4" s="140"/>
      <c r="L4" s="39"/>
      <c r="M4" s="40"/>
      <c r="N4" s="40"/>
      <c r="O4" s="41"/>
      <c r="P4" s="41"/>
      <c r="Q4" s="41"/>
      <c r="R4" s="41"/>
      <c r="S4" s="41"/>
      <c r="T4" s="41"/>
      <c r="U4" s="41"/>
      <c r="V4" s="38"/>
    </row>
    <row r="5" spans="1:22" ht="19.5" customHeight="1">
      <c r="A5" s="36"/>
      <c r="B5" s="152" t="s">
        <v>54</v>
      </c>
      <c r="C5" s="139"/>
      <c r="D5" s="139"/>
      <c r="E5" s="139"/>
      <c r="F5" s="139"/>
      <c r="G5" s="139"/>
      <c r="H5" s="139"/>
      <c r="I5" s="139"/>
      <c r="J5" s="139"/>
      <c r="K5" s="140"/>
      <c r="L5" s="39"/>
      <c r="M5" s="40"/>
      <c r="N5" s="40"/>
      <c r="O5" s="41"/>
      <c r="P5" s="41"/>
      <c r="Q5" s="41"/>
      <c r="R5" s="41"/>
      <c r="S5" s="41"/>
      <c r="T5" s="41"/>
      <c r="U5" s="41"/>
      <c r="V5" s="38"/>
    </row>
    <row r="6" spans="1:22" ht="19.5" customHeight="1">
      <c r="A6" s="36"/>
      <c r="B6" s="146"/>
      <c r="C6" s="147"/>
      <c r="D6" s="147"/>
      <c r="E6" s="147"/>
      <c r="F6" s="147"/>
      <c r="G6" s="147"/>
      <c r="H6" s="147"/>
      <c r="I6" s="147"/>
      <c r="J6" s="147"/>
      <c r="K6" s="147"/>
      <c r="L6" s="39"/>
      <c r="M6" s="40"/>
      <c r="N6" s="40"/>
      <c r="O6" s="41"/>
      <c r="P6" s="41"/>
      <c r="Q6" s="41"/>
      <c r="R6" s="41"/>
      <c r="S6" s="41"/>
      <c r="T6" s="41"/>
      <c r="U6" s="41"/>
      <c r="V6" s="38"/>
    </row>
    <row r="7" spans="1:22" ht="19.5" customHeight="1">
      <c r="A7" s="43"/>
      <c r="B7" s="153" t="s">
        <v>55</v>
      </c>
      <c r="C7" s="143"/>
      <c r="D7" s="44" t="s">
        <v>56</v>
      </c>
      <c r="E7" s="45" t="s">
        <v>57</v>
      </c>
      <c r="F7" s="45" t="s">
        <v>8</v>
      </c>
      <c r="G7" s="45" t="s">
        <v>9</v>
      </c>
      <c r="H7" s="45" t="s">
        <v>10</v>
      </c>
      <c r="I7" s="45" t="s">
        <v>11</v>
      </c>
      <c r="J7" s="153" t="s">
        <v>58</v>
      </c>
      <c r="K7" s="154"/>
      <c r="L7" s="45" t="s">
        <v>60</v>
      </c>
      <c r="M7" s="46"/>
      <c r="N7" s="47"/>
      <c r="O7" s="47"/>
      <c r="P7" s="47"/>
      <c r="Q7" s="47"/>
      <c r="R7" s="47"/>
      <c r="S7" s="47"/>
      <c r="T7" s="47"/>
      <c r="U7" s="38"/>
      <c r="V7" s="38"/>
    </row>
    <row r="8" spans="1:22" ht="19.5" customHeight="1">
      <c r="A8" s="36"/>
      <c r="B8" s="37"/>
      <c r="C8" s="37"/>
      <c r="D8" s="48"/>
      <c r="E8" s="37"/>
      <c r="F8" s="37"/>
      <c r="G8" s="37"/>
      <c r="H8" s="37"/>
      <c r="I8" s="48"/>
      <c r="J8" s="37"/>
      <c r="K8" s="37"/>
      <c r="L8" s="39"/>
      <c r="M8" s="40"/>
      <c r="N8" s="40"/>
      <c r="O8" s="41"/>
      <c r="P8" s="41"/>
      <c r="Q8" s="41"/>
      <c r="R8" s="41"/>
      <c r="S8" s="41"/>
      <c r="T8" s="41"/>
      <c r="U8" s="41"/>
      <c r="V8" s="38"/>
    </row>
    <row r="9" spans="1:22" ht="26.25" customHeight="1">
      <c r="A9" s="49"/>
      <c r="B9" s="138" t="s">
        <v>61</v>
      </c>
      <c r="C9" s="139"/>
      <c r="D9" s="139"/>
      <c r="E9" s="139"/>
      <c r="F9" s="139"/>
      <c r="G9" s="139"/>
      <c r="H9" s="139"/>
      <c r="I9" s="139"/>
      <c r="J9" s="139"/>
      <c r="K9" s="140"/>
      <c r="L9" s="39"/>
      <c r="M9" s="40"/>
      <c r="N9" s="40"/>
      <c r="O9" s="41"/>
      <c r="P9" s="41"/>
      <c r="Q9" s="41"/>
      <c r="R9" s="41"/>
      <c r="S9" s="41"/>
      <c r="T9" s="41"/>
      <c r="U9" s="41"/>
      <c r="V9" s="38"/>
    </row>
    <row r="10" spans="1:22" ht="15.75" customHeight="1">
      <c r="A10" s="36"/>
      <c r="B10" s="37"/>
      <c r="C10" s="37"/>
      <c r="D10" s="48"/>
      <c r="E10" s="37"/>
      <c r="F10" s="37"/>
      <c r="G10" s="37"/>
      <c r="H10" s="37"/>
      <c r="I10" s="48"/>
      <c r="J10" s="37"/>
      <c r="K10" s="37"/>
      <c r="L10" s="6"/>
      <c r="M10" s="40"/>
      <c r="N10" s="40"/>
      <c r="O10" s="41"/>
      <c r="P10" s="41"/>
      <c r="Q10" s="41"/>
      <c r="R10" s="41"/>
      <c r="S10" s="41"/>
      <c r="T10" s="41"/>
      <c r="U10" s="41"/>
      <c r="V10" s="38"/>
    </row>
    <row r="11" spans="1:22" ht="15.75" customHeight="1">
      <c r="A11" s="36"/>
      <c r="B11" s="50" t="s">
        <v>62</v>
      </c>
      <c r="C11" s="51">
        <v>42980</v>
      </c>
      <c r="D11" s="52" t="s">
        <v>63</v>
      </c>
      <c r="E11" s="50" t="s">
        <v>64</v>
      </c>
      <c r="F11" s="141" t="s">
        <v>65</v>
      </c>
      <c r="G11" s="142"/>
      <c r="H11" s="142"/>
      <c r="I11" s="142"/>
      <c r="J11" s="142"/>
      <c r="K11" s="143"/>
      <c r="L11" s="6"/>
      <c r="M11" s="40"/>
      <c r="N11" s="40"/>
      <c r="O11" s="53"/>
      <c r="P11" s="53"/>
      <c r="Q11" s="53"/>
      <c r="R11" s="53"/>
      <c r="S11" s="53"/>
      <c r="T11" s="53"/>
      <c r="U11" s="41"/>
      <c r="V11" s="38"/>
    </row>
    <row r="12" spans="1:22" ht="15.75" customHeight="1">
      <c r="A12" s="36"/>
      <c r="B12" s="37"/>
      <c r="C12" s="37"/>
      <c r="D12" s="48"/>
      <c r="E12" s="37"/>
      <c r="F12" s="37"/>
      <c r="G12" s="37"/>
      <c r="H12" s="37"/>
      <c r="I12" s="48"/>
      <c r="J12" s="37"/>
      <c r="K12" s="37"/>
      <c r="L12" s="39"/>
      <c r="M12" s="40"/>
      <c r="N12" s="40"/>
      <c r="O12" s="41"/>
      <c r="P12" s="41"/>
      <c r="Q12" s="41"/>
      <c r="R12" s="41"/>
      <c r="S12" s="41"/>
      <c r="T12" s="41"/>
      <c r="U12" s="41"/>
      <c r="V12" s="38"/>
    </row>
    <row r="13" spans="1:22" ht="15.75" customHeight="1">
      <c r="A13" s="36"/>
      <c r="B13" s="54" t="s">
        <v>62</v>
      </c>
      <c r="C13" s="55">
        <v>42987</v>
      </c>
      <c r="D13" s="56" t="s">
        <v>66</v>
      </c>
      <c r="E13" s="54" t="s">
        <v>64</v>
      </c>
      <c r="F13" s="57" t="str">
        <f>JohnBugejaTributeWomenGames!A3</f>
        <v>JBTW-01</v>
      </c>
      <c r="G13" s="57" t="str">
        <f>JohnBugejaTributeWomenGames!B3</f>
        <v>1st Round</v>
      </c>
      <c r="H13" s="57" t="str">
        <f>JohnBugejaTributeWomenGames!C3</f>
        <v>Balzan Flyers Crosscraft</v>
      </c>
      <c r="I13" s="57" t="str">
        <f>JohnBugejaTributeWomenGames!D3</f>
        <v>Balzan Flyers</v>
      </c>
      <c r="J13" s="57">
        <f>JohnBugejaTributeWomenGames!E3</f>
        <v>3</v>
      </c>
      <c r="K13" s="57">
        <f>JohnBugejaTributeWomenGames!F3</f>
        <v>0</v>
      </c>
      <c r="L13" s="39"/>
      <c r="M13" s="40"/>
      <c r="N13" s="40"/>
      <c r="O13" s="53"/>
      <c r="P13" s="53"/>
      <c r="Q13" s="53"/>
      <c r="R13" s="53"/>
      <c r="S13" s="53"/>
      <c r="T13" s="53"/>
      <c r="U13" s="41"/>
      <c r="V13" s="38"/>
    </row>
    <row r="14" spans="1:22" ht="7.5" customHeight="1">
      <c r="A14" s="36"/>
      <c r="B14" s="37"/>
      <c r="C14" s="58"/>
      <c r="D14" s="48"/>
      <c r="E14" s="37"/>
      <c r="F14" s="42"/>
      <c r="G14" s="42"/>
      <c r="H14" s="42"/>
      <c r="I14" s="42"/>
      <c r="J14" s="42"/>
      <c r="K14" s="42"/>
      <c r="L14" s="39"/>
      <c r="M14" s="40"/>
      <c r="N14" s="40"/>
      <c r="O14" s="53"/>
      <c r="P14" s="53"/>
      <c r="Q14" s="53"/>
      <c r="R14" s="53"/>
      <c r="S14" s="53"/>
      <c r="T14" s="53"/>
      <c r="U14" s="41"/>
      <c r="V14" s="38"/>
    </row>
    <row r="15" spans="1:22" ht="15.75" customHeight="1">
      <c r="A15" s="36"/>
      <c r="B15" s="54" t="s">
        <v>62</v>
      </c>
      <c r="C15" s="55">
        <v>42987</v>
      </c>
      <c r="D15" s="56" t="s">
        <v>67</v>
      </c>
      <c r="E15" s="54" t="s">
        <v>64</v>
      </c>
      <c r="F15" s="57" t="str">
        <f>JohnBugejaTributeWomenGames!A4</f>
        <v>JBTW-02</v>
      </c>
      <c r="G15" s="57" t="str">
        <f>JohnBugejaTributeWomenGames!B4</f>
        <v>1st Round</v>
      </c>
      <c r="H15" s="57" t="str">
        <f>JohnBugejaTributeWomenGames!C4</f>
        <v>Fleur de Lys 1</v>
      </c>
      <c r="I15" s="57" t="str">
        <f>JohnBugejaTributeWomenGames!D4</f>
        <v>Kavallieri</v>
      </c>
      <c r="J15" s="57">
        <f>JohnBugejaTributeWomenGames!E4</f>
        <v>3</v>
      </c>
      <c r="K15" s="57">
        <f>JohnBugejaTributeWomenGames!F4</f>
        <v>0</v>
      </c>
      <c r="L15" s="39"/>
      <c r="M15" s="40"/>
      <c r="N15" s="40"/>
      <c r="O15" s="53"/>
      <c r="P15" s="53"/>
      <c r="Q15" s="53"/>
      <c r="R15" s="53"/>
      <c r="S15" s="53"/>
      <c r="T15" s="53"/>
      <c r="U15" s="41"/>
      <c r="V15" s="38"/>
    </row>
    <row r="16" spans="1:22" ht="15.75" customHeight="1">
      <c r="A16" s="36"/>
      <c r="B16" s="37"/>
      <c r="C16" s="37"/>
      <c r="D16" s="48"/>
      <c r="E16" s="37"/>
      <c r="F16" s="37"/>
      <c r="G16" s="37"/>
      <c r="H16" s="37"/>
      <c r="I16" s="37"/>
      <c r="J16" s="37"/>
      <c r="K16" s="37"/>
      <c r="L16" s="39"/>
      <c r="M16" s="40"/>
      <c r="N16" s="40"/>
      <c r="O16" s="41"/>
      <c r="P16" s="41"/>
      <c r="Q16" s="41"/>
      <c r="R16" s="41"/>
      <c r="S16" s="41"/>
      <c r="T16" s="41"/>
      <c r="U16" s="41"/>
      <c r="V16" s="38"/>
    </row>
    <row r="17" spans="1:22" ht="15.75" customHeight="1">
      <c r="A17" s="36"/>
      <c r="B17" s="54" t="s">
        <v>68</v>
      </c>
      <c r="C17" s="55">
        <v>42988</v>
      </c>
      <c r="D17" s="56" t="s">
        <v>66</v>
      </c>
      <c r="E17" s="54" t="s">
        <v>64</v>
      </c>
      <c r="F17" s="57" t="str">
        <f>JohnBugejaTributeWomenGames!A5</f>
        <v>JBTW-03</v>
      </c>
      <c r="G17" s="57" t="str">
        <f>JohnBugejaTributeWomenGames!B5</f>
        <v>1st Round</v>
      </c>
      <c r="H17" s="57" t="str">
        <f>JohnBugejaTributeWomenGames!C5</f>
        <v>Mgarr Volley</v>
      </c>
      <c r="I17" s="57" t="str">
        <f>JohnBugejaTributeWomenGames!D5</f>
        <v>Birkirkara </v>
      </c>
      <c r="J17" s="57">
        <f>JohnBugejaTributeWomenGames!E5</f>
        <v>3</v>
      </c>
      <c r="K17" s="57">
        <f>JohnBugejaTributeWomenGames!F5</f>
        <v>0</v>
      </c>
      <c r="L17" s="39"/>
      <c r="M17" s="40"/>
      <c r="N17" s="40"/>
      <c r="O17" s="53"/>
      <c r="P17" s="53"/>
      <c r="Q17" s="53"/>
      <c r="R17" s="53"/>
      <c r="S17" s="53"/>
      <c r="T17" s="53"/>
      <c r="U17" s="41"/>
      <c r="V17" s="38"/>
    </row>
    <row r="18" spans="1:22" ht="7.5" customHeight="1">
      <c r="A18" s="36"/>
      <c r="B18" s="37"/>
      <c r="C18" s="58"/>
      <c r="D18" s="48"/>
      <c r="E18" s="37"/>
      <c r="F18" s="42"/>
      <c r="G18" s="42"/>
      <c r="H18" s="42"/>
      <c r="I18" s="42"/>
      <c r="J18" s="42"/>
      <c r="K18" s="42"/>
      <c r="L18" s="39"/>
      <c r="M18" s="40"/>
      <c r="N18" s="40"/>
      <c r="O18" s="53"/>
      <c r="P18" s="53"/>
      <c r="Q18" s="53"/>
      <c r="R18" s="53"/>
      <c r="S18" s="53"/>
      <c r="T18" s="53"/>
      <c r="U18" s="41"/>
      <c r="V18" s="38"/>
    </row>
    <row r="19" spans="1:22" ht="15.75" customHeight="1">
      <c r="A19" s="36"/>
      <c r="B19" s="54" t="s">
        <v>68</v>
      </c>
      <c r="C19" s="55">
        <v>42988</v>
      </c>
      <c r="D19" s="56" t="s">
        <v>67</v>
      </c>
      <c r="E19" s="54" t="s">
        <v>64</v>
      </c>
      <c r="F19" s="57" t="str">
        <f>JohnBugejaTributeWomenGames!A6</f>
        <v>JBTW-04</v>
      </c>
      <c r="G19" s="57" t="str">
        <f>JohnBugejaTributeWomenGames!B6</f>
        <v>1st Round</v>
      </c>
      <c r="H19" s="57" t="str">
        <f>JohnBugejaTributeWomenGames!C6</f>
        <v>Paola Volley</v>
      </c>
      <c r="I19" s="57" t="str">
        <f>JohnBugejaTributeWomenGames!D6</f>
        <v>Swieqi Phoenix</v>
      </c>
      <c r="J19" s="57">
        <f>JohnBugejaTributeWomenGames!E6</f>
        <v>3</v>
      </c>
      <c r="K19" s="57">
        <f>JohnBugejaTributeWomenGames!F6</f>
        <v>1</v>
      </c>
      <c r="L19" s="39"/>
      <c r="M19" s="40"/>
      <c r="N19" s="40"/>
      <c r="O19" s="53"/>
      <c r="P19" s="53"/>
      <c r="Q19" s="53"/>
      <c r="R19" s="53"/>
      <c r="S19" s="53"/>
      <c r="T19" s="53"/>
      <c r="U19" s="41"/>
      <c r="V19" s="38"/>
    </row>
    <row r="20" spans="1:22" ht="15.75" customHeight="1">
      <c r="A20" s="36"/>
      <c r="B20" s="37"/>
      <c r="C20" s="37"/>
      <c r="D20" s="48"/>
      <c r="E20" s="37"/>
      <c r="F20" s="37"/>
      <c r="G20" s="37"/>
      <c r="H20" s="37"/>
      <c r="I20" s="37"/>
      <c r="J20" s="37"/>
      <c r="K20" s="37"/>
      <c r="L20" s="39"/>
      <c r="M20" s="40"/>
      <c r="N20" s="40"/>
      <c r="O20" s="41"/>
      <c r="P20" s="41"/>
      <c r="Q20" s="41"/>
      <c r="R20" s="41"/>
      <c r="S20" s="41"/>
      <c r="T20" s="41"/>
      <c r="U20" s="41"/>
      <c r="V20" s="38"/>
    </row>
    <row r="21" spans="1:22" ht="15.75" customHeight="1">
      <c r="A21" s="36"/>
      <c r="B21" s="54" t="s">
        <v>62</v>
      </c>
      <c r="C21" s="55">
        <v>42994</v>
      </c>
      <c r="D21" s="56" t="s">
        <v>66</v>
      </c>
      <c r="E21" s="54" t="s">
        <v>64</v>
      </c>
      <c r="F21" s="57" t="str">
        <f>JohnBugejaTributeWomenGames!A7</f>
        <v>JBTW-05</v>
      </c>
      <c r="G21" s="57" t="str">
        <f>JohnBugejaTributeWomenGames!B7</f>
        <v>1st Round</v>
      </c>
      <c r="H21" s="57" t="str">
        <f>JohnBugejaTributeWomenGames!C7</f>
        <v>Zabbar St. Patrick's</v>
      </c>
      <c r="I21" s="57" t="str">
        <f>JohnBugejaTributeWomenGames!D7</f>
        <v>Mgarr Volley</v>
      </c>
      <c r="J21" s="57">
        <v>1</v>
      </c>
      <c r="K21" s="57">
        <v>3</v>
      </c>
      <c r="M21" s="40"/>
      <c r="N21" s="40"/>
      <c r="O21" s="53"/>
      <c r="P21" s="53"/>
      <c r="Q21" s="53"/>
      <c r="R21" s="53"/>
      <c r="S21" s="53"/>
      <c r="T21" s="53"/>
      <c r="U21" s="41"/>
      <c r="V21" s="38"/>
    </row>
    <row r="22" spans="1:22" ht="7.5" customHeight="1">
      <c r="A22" s="36"/>
      <c r="B22" s="37"/>
      <c r="C22" s="58"/>
      <c r="D22" s="48"/>
      <c r="E22" s="37"/>
      <c r="F22" s="42"/>
      <c r="G22" s="42"/>
      <c r="H22" s="42"/>
      <c r="I22" s="42"/>
      <c r="J22" s="42"/>
      <c r="K22" s="42"/>
      <c r="L22" s="6"/>
      <c r="M22" s="40"/>
      <c r="N22" s="40"/>
      <c r="O22" s="53"/>
      <c r="P22" s="53"/>
      <c r="Q22" s="53"/>
      <c r="R22" s="53"/>
      <c r="S22" s="53"/>
      <c r="T22" s="53"/>
      <c r="U22" s="41"/>
      <c r="V22" s="38"/>
    </row>
    <row r="23" spans="1:22" ht="15.75" customHeight="1">
      <c r="A23" s="36"/>
      <c r="B23" s="54" t="s">
        <v>62</v>
      </c>
      <c r="C23" s="55">
        <v>42994</v>
      </c>
      <c r="D23" s="56" t="s">
        <v>67</v>
      </c>
      <c r="E23" s="54" t="s">
        <v>64</v>
      </c>
      <c r="F23" s="57" t="str">
        <f>JohnBugejaTributeWomenGames!A8</f>
        <v>JBTW-06</v>
      </c>
      <c r="G23" s="57" t="str">
        <f>JohnBugejaTributeWomenGames!B8</f>
        <v>1st Round</v>
      </c>
      <c r="H23" s="57" t="str">
        <f>JohnBugejaTributeWomenGames!C8</f>
        <v>Sliema Wanderers</v>
      </c>
      <c r="I23" s="57" t="str">
        <f>JohnBugejaTributeWomenGames!D8</f>
        <v>Paola Volley</v>
      </c>
      <c r="J23" s="57">
        <v>0</v>
      </c>
      <c r="K23" s="57">
        <v>3</v>
      </c>
      <c r="L23" s="39"/>
      <c r="M23" s="40"/>
      <c r="N23" s="40"/>
      <c r="O23" s="53"/>
      <c r="P23" s="53"/>
      <c r="Q23" s="53"/>
      <c r="R23" s="53"/>
      <c r="S23" s="53"/>
      <c r="T23" s="53"/>
      <c r="U23" s="41"/>
      <c r="V23" s="38"/>
    </row>
    <row r="24" spans="1:22" ht="15.75" customHeight="1">
      <c r="A24" s="36"/>
      <c r="B24" s="37"/>
      <c r="C24" s="37"/>
      <c r="D24" s="48"/>
      <c r="E24" s="37"/>
      <c r="F24" s="37"/>
      <c r="G24" s="37"/>
      <c r="H24" s="37"/>
      <c r="I24" s="37"/>
      <c r="J24" s="37"/>
      <c r="K24" s="37"/>
      <c r="L24" s="39"/>
      <c r="M24" s="40"/>
      <c r="N24" s="40"/>
      <c r="O24" s="41"/>
      <c r="P24" s="41"/>
      <c r="Q24" s="41"/>
      <c r="R24" s="41"/>
      <c r="S24" s="41"/>
      <c r="T24" s="41"/>
      <c r="U24" s="41"/>
      <c r="V24" s="38"/>
    </row>
    <row r="25" spans="1:22" ht="15.75" customHeight="1">
      <c r="A25" s="36"/>
      <c r="B25" s="54" t="s">
        <v>68</v>
      </c>
      <c r="C25" s="55">
        <v>42995</v>
      </c>
      <c r="D25" s="56" t="s">
        <v>66</v>
      </c>
      <c r="E25" s="54" t="s">
        <v>64</v>
      </c>
      <c r="F25" s="57" t="str">
        <f>JohnBugejaTributeWomenGames!A9</f>
        <v>JBTW-07</v>
      </c>
      <c r="G25" s="57" t="str">
        <f>JohnBugejaTributeWomenGames!B9</f>
        <v>1st Round</v>
      </c>
      <c r="H25" s="57" t="str">
        <f>JohnBugejaTributeWomenGames!C9</f>
        <v>Balzan Flyers</v>
      </c>
      <c r="I25" s="57" t="str">
        <f>JohnBugejaTributeWomenGames!D9</f>
        <v>Birkirkara </v>
      </c>
      <c r="J25" s="57">
        <v>0</v>
      </c>
      <c r="K25" s="57">
        <v>3</v>
      </c>
      <c r="L25" s="39"/>
      <c r="M25" s="40"/>
      <c r="N25" s="40"/>
      <c r="O25" s="53"/>
      <c r="P25" s="53"/>
      <c r="Q25" s="53"/>
      <c r="R25" s="53"/>
      <c r="S25" s="53"/>
      <c r="T25" s="53"/>
      <c r="U25" s="41"/>
      <c r="V25" s="38"/>
    </row>
    <row r="26" spans="1:22" ht="7.5" customHeight="1">
      <c r="A26" s="36"/>
      <c r="B26" s="37"/>
      <c r="C26" s="58"/>
      <c r="D26" s="48"/>
      <c r="E26" s="37"/>
      <c r="F26" s="42"/>
      <c r="G26" s="42"/>
      <c r="H26" s="42"/>
      <c r="I26" s="42"/>
      <c r="J26" s="42"/>
      <c r="K26" s="42"/>
      <c r="L26" s="39"/>
      <c r="M26" s="40"/>
      <c r="N26" s="40"/>
      <c r="O26" s="53"/>
      <c r="P26" s="53"/>
      <c r="Q26" s="53"/>
      <c r="R26" s="53"/>
      <c r="S26" s="53"/>
      <c r="T26" s="53"/>
      <c r="U26" s="41"/>
      <c r="V26" s="38"/>
    </row>
    <row r="27" spans="1:22" ht="15.75" customHeight="1">
      <c r="A27" s="36"/>
      <c r="B27" s="54" t="s">
        <v>68</v>
      </c>
      <c r="C27" s="55">
        <v>42995</v>
      </c>
      <c r="D27" s="56" t="s">
        <v>67</v>
      </c>
      <c r="E27" s="54" t="s">
        <v>64</v>
      </c>
      <c r="F27" s="57" t="str">
        <f>JohnBugejaTributeWomenGames!A10</f>
        <v>JBTW-08</v>
      </c>
      <c r="G27" s="57" t="str">
        <f>JohnBugejaTributeWomenGames!B10</f>
        <v>1st Round</v>
      </c>
      <c r="H27" s="57" t="str">
        <f>JohnBugejaTributeWomenGames!C10</f>
        <v>Kavallieri</v>
      </c>
      <c r="I27" s="57" t="str">
        <f>JohnBugejaTributeWomenGames!D10</f>
        <v>Swieqi Phoenix</v>
      </c>
      <c r="J27" s="57">
        <v>2</v>
      </c>
      <c r="K27" s="57">
        <v>3</v>
      </c>
      <c r="L27" s="39"/>
      <c r="M27" s="40"/>
      <c r="N27" s="40"/>
      <c r="O27" s="53"/>
      <c r="P27" s="53"/>
      <c r="Q27" s="53"/>
      <c r="R27" s="53"/>
      <c r="S27" s="53"/>
      <c r="T27" s="53"/>
      <c r="U27" s="41"/>
      <c r="V27" s="38"/>
    </row>
    <row r="28" spans="1:22" ht="15.75" customHeight="1">
      <c r="A28" s="36"/>
      <c r="B28" s="37"/>
      <c r="C28" s="37"/>
      <c r="D28" s="48"/>
      <c r="E28" s="37"/>
      <c r="F28" s="37"/>
      <c r="G28" s="37"/>
      <c r="H28" s="37"/>
      <c r="I28" s="37"/>
      <c r="J28" s="37"/>
      <c r="K28" s="37"/>
      <c r="L28" s="39"/>
      <c r="M28" s="40"/>
      <c r="N28" s="40"/>
      <c r="O28" s="41"/>
      <c r="P28" s="41"/>
      <c r="Q28" s="41"/>
      <c r="R28" s="41"/>
      <c r="S28" s="41"/>
      <c r="T28" s="41"/>
      <c r="U28" s="41"/>
      <c r="V28" s="38"/>
    </row>
    <row r="29" spans="1:22" ht="15.75" customHeight="1">
      <c r="A29" s="36"/>
      <c r="B29" s="54" t="s">
        <v>62</v>
      </c>
      <c r="C29" s="55">
        <v>43001</v>
      </c>
      <c r="D29" s="56" t="s">
        <v>66</v>
      </c>
      <c r="E29" s="54" t="s">
        <v>64</v>
      </c>
      <c r="F29" s="57" t="str">
        <f>JohnBugejaTributeWomenGames!A11</f>
        <v>JBTW-09</v>
      </c>
      <c r="G29" s="57" t="str">
        <f>JohnBugejaTributeWomenGames!B11</f>
        <v>1st Round</v>
      </c>
      <c r="H29" s="57" t="str">
        <f>JohnBugejaTributeWomenGames!C11</f>
        <v>Birkirkara </v>
      </c>
      <c r="I29" s="57" t="str">
        <f>JohnBugejaTributeWomenGames!D11</f>
        <v>Zabbar St. Patrick's</v>
      </c>
      <c r="J29" s="57">
        <v>3</v>
      </c>
      <c r="K29" s="57">
        <v>1</v>
      </c>
      <c r="L29" s="39"/>
      <c r="M29" s="40"/>
      <c r="N29" s="40"/>
      <c r="O29" s="53"/>
      <c r="P29" s="53"/>
      <c r="Q29" s="53"/>
      <c r="R29" s="53"/>
      <c r="S29" s="53"/>
      <c r="T29" s="53"/>
      <c r="U29" s="41"/>
      <c r="V29" s="38"/>
    </row>
    <row r="30" spans="1:22" ht="7.5" customHeight="1">
      <c r="A30" s="36"/>
      <c r="B30" s="37"/>
      <c r="C30" s="58"/>
      <c r="D30" s="48"/>
      <c r="E30" s="37"/>
      <c r="F30" s="42"/>
      <c r="G30" s="42"/>
      <c r="H30" s="42"/>
      <c r="I30" s="42"/>
      <c r="J30" s="42"/>
      <c r="K30" s="42"/>
      <c r="L30" s="39"/>
      <c r="M30" s="40"/>
      <c r="N30" s="40"/>
      <c r="O30" s="53"/>
      <c r="P30" s="53"/>
      <c r="Q30" s="53"/>
      <c r="R30" s="53"/>
      <c r="S30" s="53"/>
      <c r="T30" s="53"/>
      <c r="U30" s="41"/>
      <c r="V30" s="38"/>
    </row>
    <row r="31" spans="1:22" ht="15.75" customHeight="1">
      <c r="A31" s="36"/>
      <c r="B31" s="54" t="s">
        <v>62</v>
      </c>
      <c r="C31" s="55">
        <v>43001</v>
      </c>
      <c r="D31" s="56" t="s">
        <v>67</v>
      </c>
      <c r="E31" s="54" t="s">
        <v>64</v>
      </c>
      <c r="F31" s="57" t="str">
        <f>JohnBugejaTributeWomenGames!A12</f>
        <v>JBTW-10</v>
      </c>
      <c r="G31" s="57" t="str">
        <f>JohnBugejaTributeWomenGames!B12</f>
        <v>1st Round</v>
      </c>
      <c r="H31" s="57" t="str">
        <f>JohnBugejaTributeWomenGames!C12</f>
        <v>Swieqi Phoenix</v>
      </c>
      <c r="I31" s="57" t="str">
        <f>JohnBugejaTributeWomenGames!D12</f>
        <v>Sliema Wanderers</v>
      </c>
      <c r="J31" s="57">
        <v>0</v>
      </c>
      <c r="K31" s="57">
        <v>3</v>
      </c>
      <c r="L31" s="39"/>
      <c r="M31" s="40"/>
      <c r="N31" s="40"/>
      <c r="O31" s="53"/>
      <c r="P31" s="53"/>
      <c r="Q31" s="53"/>
      <c r="R31" s="53"/>
      <c r="S31" s="53"/>
      <c r="T31" s="53"/>
      <c r="U31" s="41"/>
      <c r="V31" s="38"/>
    </row>
    <row r="32" spans="1:22" ht="15.75" customHeight="1">
      <c r="A32" s="36"/>
      <c r="B32" s="37"/>
      <c r="C32" s="37"/>
      <c r="D32" s="48"/>
      <c r="E32" s="37"/>
      <c r="F32" s="37"/>
      <c r="G32" s="37"/>
      <c r="H32" s="37"/>
      <c r="I32" s="37"/>
      <c r="J32" s="37"/>
      <c r="K32" s="37"/>
      <c r="L32" s="39"/>
      <c r="M32" s="40"/>
      <c r="N32" s="40"/>
      <c r="O32" s="41"/>
      <c r="P32" s="41"/>
      <c r="Q32" s="41"/>
      <c r="R32" s="41"/>
      <c r="S32" s="41"/>
      <c r="T32" s="41"/>
      <c r="U32" s="41"/>
      <c r="V32" s="38"/>
    </row>
    <row r="33" spans="1:22" ht="15.75" customHeight="1">
      <c r="A33" s="36"/>
      <c r="B33" s="54" t="s">
        <v>68</v>
      </c>
      <c r="C33" s="55">
        <v>43002</v>
      </c>
      <c r="D33" s="56" t="s">
        <v>66</v>
      </c>
      <c r="E33" s="54" t="s">
        <v>64</v>
      </c>
      <c r="F33" s="57" t="str">
        <f>JohnBugejaTributeWomenGames!A13</f>
        <v>JBTW-11</v>
      </c>
      <c r="G33" s="57" t="str">
        <f>JohnBugejaTributeWomenGames!B13</f>
        <v>1st Round</v>
      </c>
      <c r="H33" s="57" t="str">
        <f>JohnBugejaTributeWomenGames!C13</f>
        <v>Mgarr Volley</v>
      </c>
      <c r="I33" s="57" t="str">
        <f>JohnBugejaTributeWomenGames!D13</f>
        <v>Balzan Flyers Crosscraft</v>
      </c>
      <c r="J33" s="57">
        <v>0</v>
      </c>
      <c r="K33" s="57">
        <v>3</v>
      </c>
      <c r="L33" s="39"/>
      <c r="M33" s="40"/>
      <c r="N33" s="40"/>
      <c r="O33" s="53"/>
      <c r="P33" s="53"/>
      <c r="Q33" s="53"/>
      <c r="R33" s="53"/>
      <c r="S33" s="53"/>
      <c r="T33" s="53"/>
      <c r="U33" s="41"/>
      <c r="V33" s="38"/>
    </row>
    <row r="34" spans="1:22" ht="7.5" customHeight="1">
      <c r="A34" s="36"/>
      <c r="B34" s="37"/>
      <c r="C34" s="58"/>
      <c r="D34" s="48"/>
      <c r="E34" s="37"/>
      <c r="F34" s="42"/>
      <c r="G34" s="42"/>
      <c r="H34" s="42"/>
      <c r="I34" s="42"/>
      <c r="J34" s="42"/>
      <c r="K34" s="42"/>
      <c r="L34" s="39"/>
      <c r="M34" s="40"/>
      <c r="N34" s="40"/>
      <c r="O34" s="53"/>
      <c r="P34" s="53"/>
      <c r="Q34" s="53"/>
      <c r="R34" s="53"/>
      <c r="S34" s="53"/>
      <c r="T34" s="53"/>
      <c r="U34" s="41"/>
      <c r="V34" s="38"/>
    </row>
    <row r="35" spans="1:22" ht="15.75" customHeight="1">
      <c r="A35" s="36"/>
      <c r="B35" s="54" t="s">
        <v>68</v>
      </c>
      <c r="C35" s="55">
        <v>43002</v>
      </c>
      <c r="D35" s="56" t="s">
        <v>67</v>
      </c>
      <c r="E35" s="54" t="s">
        <v>64</v>
      </c>
      <c r="F35" s="57" t="str">
        <f>JohnBugejaTributeWomenGames!A14</f>
        <v>JBTW-12</v>
      </c>
      <c r="G35" s="57" t="str">
        <f>JohnBugejaTributeWomenGames!B14</f>
        <v>1st Round</v>
      </c>
      <c r="H35" s="57" t="str">
        <f>JohnBugejaTributeWomenGames!C14</f>
        <v>Paola Volley</v>
      </c>
      <c r="I35" s="57" t="str">
        <f>JohnBugejaTributeWomenGames!D14</f>
        <v>Fleur de Lys 1</v>
      </c>
      <c r="J35" s="57">
        <v>0</v>
      </c>
      <c r="K35" s="57">
        <v>3</v>
      </c>
      <c r="L35" s="39"/>
      <c r="M35" s="40"/>
      <c r="N35" s="40"/>
      <c r="O35" s="53"/>
      <c r="P35" s="53"/>
      <c r="Q35" s="53"/>
      <c r="R35" s="53"/>
      <c r="S35" s="53"/>
      <c r="T35" s="53"/>
      <c r="U35" s="41"/>
      <c r="V35" s="38"/>
    </row>
    <row r="36" spans="1:22" ht="15.75" customHeight="1">
      <c r="A36" s="36"/>
      <c r="B36" s="37"/>
      <c r="C36" s="37"/>
      <c r="D36" s="48"/>
      <c r="E36" s="37"/>
      <c r="F36" s="37"/>
      <c r="G36" s="37"/>
      <c r="H36" s="37"/>
      <c r="I36" s="37"/>
      <c r="J36" s="37"/>
      <c r="K36" s="37"/>
      <c r="L36" s="39"/>
      <c r="M36" s="40"/>
      <c r="N36" s="40"/>
      <c r="O36" s="41"/>
      <c r="P36" s="41"/>
      <c r="Q36" s="41"/>
      <c r="R36" s="41"/>
      <c r="S36" s="41"/>
      <c r="T36" s="41"/>
      <c r="U36" s="41"/>
      <c r="V36" s="38"/>
    </row>
    <row r="37" spans="1:22" ht="15.75" customHeight="1">
      <c r="A37" s="36"/>
      <c r="B37" s="54" t="s">
        <v>62</v>
      </c>
      <c r="C37" s="55">
        <v>43008</v>
      </c>
      <c r="D37" s="56" t="s">
        <v>66</v>
      </c>
      <c r="E37" s="54" t="s">
        <v>64</v>
      </c>
      <c r="F37" s="57" t="str">
        <f>JohnBugejaTributeWomenGames!A15</f>
        <v>JBTW-13</v>
      </c>
      <c r="G37" s="57" t="str">
        <f>JohnBugejaTributeWomenGames!B15</f>
        <v>1st Round</v>
      </c>
      <c r="H37" s="57" t="str">
        <f>JohnBugejaTributeWomenGames!C15</f>
        <v>Zabbar St. Patrick's</v>
      </c>
      <c r="I37" s="57" t="str">
        <f>JohnBugejaTributeWomenGames!D15</f>
        <v>Balzan Flyers</v>
      </c>
      <c r="J37" s="57">
        <v>0</v>
      </c>
      <c r="K37" s="57">
        <v>3</v>
      </c>
      <c r="L37" s="39"/>
      <c r="M37" s="40"/>
      <c r="N37" s="40"/>
      <c r="O37" s="53"/>
      <c r="P37" s="53"/>
      <c r="Q37" s="53"/>
      <c r="R37" s="53"/>
      <c r="S37" s="53"/>
      <c r="T37" s="53"/>
      <c r="U37" s="41"/>
      <c r="V37" s="38"/>
    </row>
    <row r="38" spans="1:22" ht="7.5" customHeight="1">
      <c r="A38" s="36"/>
      <c r="B38" s="37"/>
      <c r="C38" s="58"/>
      <c r="D38" s="48"/>
      <c r="E38" s="37"/>
      <c r="F38" s="42"/>
      <c r="G38" s="42"/>
      <c r="H38" s="42"/>
      <c r="I38" s="42"/>
      <c r="J38" s="42"/>
      <c r="K38" s="42"/>
      <c r="L38" s="39"/>
      <c r="M38" s="40"/>
      <c r="N38" s="40"/>
      <c r="O38" s="53"/>
      <c r="P38" s="53"/>
      <c r="Q38" s="53"/>
      <c r="R38" s="53"/>
      <c r="S38" s="53"/>
      <c r="T38" s="53"/>
      <c r="U38" s="41"/>
      <c r="V38" s="38"/>
    </row>
    <row r="39" spans="1:22" ht="15.75" customHeight="1">
      <c r="A39" s="36"/>
      <c r="B39" s="54" t="s">
        <v>62</v>
      </c>
      <c r="C39" s="55">
        <v>43008</v>
      </c>
      <c r="D39" s="56" t="s">
        <v>67</v>
      </c>
      <c r="E39" s="54" t="s">
        <v>64</v>
      </c>
      <c r="F39" s="57" t="str">
        <f>JohnBugejaTributeWomenGames!A16</f>
        <v>JBTW-14</v>
      </c>
      <c r="G39" s="57" t="str">
        <f>JohnBugejaTributeWomenGames!B16</f>
        <v>1st Round</v>
      </c>
      <c r="H39" s="57" t="str">
        <f>JohnBugejaTributeWomenGames!C16</f>
        <v>Sliema Wanderers</v>
      </c>
      <c r="I39" s="57" t="str">
        <f>JohnBugejaTributeWomenGames!D16</f>
        <v>Kavallieri</v>
      </c>
      <c r="J39" s="57">
        <v>3</v>
      </c>
      <c r="K39" s="57">
        <v>2</v>
      </c>
      <c r="L39" s="39"/>
      <c r="M39" s="40"/>
      <c r="N39" s="40"/>
      <c r="O39" s="53"/>
      <c r="P39" s="53"/>
      <c r="Q39" s="53"/>
      <c r="R39" s="53"/>
      <c r="S39" s="53"/>
      <c r="T39" s="53"/>
      <c r="U39" s="41"/>
      <c r="V39" s="38"/>
    </row>
    <row r="40" spans="1:22" ht="15.75" customHeight="1">
      <c r="A40" s="36"/>
      <c r="B40" s="37"/>
      <c r="C40" s="37"/>
      <c r="D40" s="48"/>
      <c r="E40" s="37"/>
      <c r="F40" s="37"/>
      <c r="G40" s="37"/>
      <c r="H40" s="37"/>
      <c r="I40" s="37"/>
      <c r="J40" s="37"/>
      <c r="K40" s="37"/>
      <c r="L40" s="39"/>
      <c r="M40" s="40"/>
      <c r="N40" s="40"/>
      <c r="O40" s="41"/>
      <c r="P40" s="41"/>
      <c r="Q40" s="41"/>
      <c r="R40" s="41"/>
      <c r="S40" s="41"/>
      <c r="T40" s="41"/>
      <c r="U40" s="41"/>
      <c r="V40" s="38"/>
    </row>
    <row r="41" spans="1:22" ht="26.25" customHeight="1">
      <c r="A41" s="49"/>
      <c r="B41" s="138" t="s">
        <v>70</v>
      </c>
      <c r="C41" s="139"/>
      <c r="D41" s="139"/>
      <c r="E41" s="139"/>
      <c r="F41" s="139"/>
      <c r="G41" s="139"/>
      <c r="H41" s="139"/>
      <c r="I41" s="139"/>
      <c r="J41" s="139"/>
      <c r="K41" s="140"/>
      <c r="L41" s="39"/>
      <c r="M41" s="40"/>
      <c r="N41" s="40"/>
      <c r="O41" s="53"/>
      <c r="P41" s="53"/>
      <c r="Q41" s="53"/>
      <c r="R41" s="53"/>
      <c r="S41" s="53"/>
      <c r="T41" s="53"/>
      <c r="U41" s="41"/>
      <c r="V41" s="38"/>
    </row>
    <row r="42" spans="1:22" ht="15.75" customHeight="1">
      <c r="A42" s="36"/>
      <c r="B42" s="37"/>
      <c r="C42" s="37"/>
      <c r="D42" s="48"/>
      <c r="E42" s="37"/>
      <c r="F42" s="37"/>
      <c r="G42" s="37"/>
      <c r="H42" s="37"/>
      <c r="I42" s="37"/>
      <c r="J42" s="37"/>
      <c r="K42" s="37"/>
      <c r="L42" s="39"/>
      <c r="M42" s="40"/>
      <c r="N42" s="40"/>
      <c r="O42" s="41"/>
      <c r="P42" s="41"/>
      <c r="Q42" s="41"/>
      <c r="R42" s="41"/>
      <c r="S42" s="41"/>
      <c r="T42" s="41"/>
      <c r="U42" s="41"/>
      <c r="V42" s="38"/>
    </row>
    <row r="43" spans="1:22" ht="15.75" customHeight="1">
      <c r="A43" s="36"/>
      <c r="B43" s="54" t="s">
        <v>68</v>
      </c>
      <c r="C43" s="55">
        <v>43009</v>
      </c>
      <c r="D43" s="56" t="s">
        <v>66</v>
      </c>
      <c r="E43" s="54" t="s">
        <v>64</v>
      </c>
      <c r="F43" s="57" t="str">
        <f>JohnBugejaTributeWomenGames!A17</f>
        <v>JBTW-15</v>
      </c>
      <c r="G43" s="57" t="str">
        <f>JohnBugejaTributeWomenGames!B17</f>
        <v>1st Round</v>
      </c>
      <c r="H43" s="57" t="str">
        <f>JohnBugejaTributeWomenGames!C17</f>
        <v>Birkirkara </v>
      </c>
      <c r="I43" s="57" t="str">
        <f>JohnBugejaTributeWomenGames!D17</f>
        <v>Balzan Flyers Crosscraft</v>
      </c>
      <c r="J43" s="57">
        <v>0</v>
      </c>
      <c r="K43" s="57">
        <v>3</v>
      </c>
      <c r="L43" s="39"/>
      <c r="M43" s="40"/>
      <c r="N43" s="40"/>
      <c r="O43" s="53"/>
      <c r="P43" s="53"/>
      <c r="Q43" s="53"/>
      <c r="R43" s="53"/>
      <c r="S43" s="53"/>
      <c r="T43" s="53"/>
      <c r="U43" s="41"/>
      <c r="V43" s="38"/>
    </row>
    <row r="44" spans="1:22" ht="7.5" customHeight="1">
      <c r="A44" s="36"/>
      <c r="B44" s="37"/>
      <c r="C44" s="58"/>
      <c r="D44" s="48"/>
      <c r="E44" s="37"/>
      <c r="F44" s="42"/>
      <c r="G44" s="42"/>
      <c r="H44" s="42"/>
      <c r="I44" s="42"/>
      <c r="J44" s="42"/>
      <c r="K44" s="42"/>
      <c r="L44" s="39"/>
      <c r="M44" s="40"/>
      <c r="N44" s="40"/>
      <c r="O44" s="53"/>
      <c r="P44" s="53"/>
      <c r="Q44" s="53"/>
      <c r="R44" s="53"/>
      <c r="S44" s="53"/>
      <c r="T44" s="53"/>
      <c r="U44" s="41"/>
      <c r="V44" s="38"/>
    </row>
    <row r="45" spans="1:22" ht="15.75" customHeight="1">
      <c r="A45" s="36"/>
      <c r="B45" s="54" t="s">
        <v>68</v>
      </c>
      <c r="C45" s="55">
        <v>43009</v>
      </c>
      <c r="D45" s="56" t="s">
        <v>67</v>
      </c>
      <c r="E45" s="54" t="s">
        <v>64</v>
      </c>
      <c r="F45" s="57" t="str">
        <f>JohnBugejaTributeWomenGames!A18</f>
        <v>JBTW-16</v>
      </c>
      <c r="G45" s="57" t="str">
        <f>JohnBugejaTributeWomenGames!B18</f>
        <v>1st Round</v>
      </c>
      <c r="H45" s="57" t="str">
        <f>JohnBugejaTributeWomenGames!C18</f>
        <v>Swieqi Phoenix</v>
      </c>
      <c r="I45" s="57" t="str">
        <f>JohnBugejaTributeWomenGames!D18</f>
        <v>Fleur de Lys 1</v>
      </c>
      <c r="J45" s="57">
        <v>0</v>
      </c>
      <c r="K45" s="57">
        <v>3</v>
      </c>
      <c r="L45" s="39"/>
      <c r="M45" s="40"/>
      <c r="N45" s="40"/>
      <c r="O45" s="53"/>
      <c r="P45" s="53"/>
      <c r="Q45" s="53"/>
      <c r="R45" s="53"/>
      <c r="S45" s="53"/>
      <c r="T45" s="53"/>
      <c r="U45" s="41"/>
      <c r="V45" s="38"/>
    </row>
    <row r="46" spans="1:22" ht="15.75" customHeight="1">
      <c r="A46" s="36"/>
      <c r="B46" s="37"/>
      <c r="C46" s="37"/>
      <c r="D46" s="48"/>
      <c r="E46" s="37"/>
      <c r="F46" s="37"/>
      <c r="G46" s="37"/>
      <c r="H46" s="37"/>
      <c r="I46" s="37"/>
      <c r="J46" s="37"/>
      <c r="K46" s="37"/>
      <c r="L46" s="39"/>
      <c r="M46" s="40"/>
      <c r="N46" s="40"/>
      <c r="O46" s="41"/>
      <c r="P46" s="41"/>
      <c r="Q46" s="41"/>
      <c r="R46" s="41"/>
      <c r="S46" s="41"/>
      <c r="T46" s="41"/>
      <c r="U46" s="41"/>
      <c r="V46" s="38"/>
    </row>
    <row r="47" spans="1:22" ht="15.75" customHeight="1">
      <c r="A47" s="36"/>
      <c r="B47" s="54" t="s">
        <v>62</v>
      </c>
      <c r="C47" s="55">
        <v>43015</v>
      </c>
      <c r="D47" s="56" t="s">
        <v>66</v>
      </c>
      <c r="E47" s="54" t="s">
        <v>64</v>
      </c>
      <c r="F47" s="57" t="str">
        <f>JohnBugejaTributeWomenGames!A19</f>
        <v>JBTW-17</v>
      </c>
      <c r="G47" s="57" t="str">
        <f>JohnBugejaTributeWomenGames!B19</f>
        <v>1st Round</v>
      </c>
      <c r="H47" s="57" t="str">
        <f>JohnBugejaTributeWomenGames!C19</f>
        <v>Balzan Flyers Crosscraft</v>
      </c>
      <c r="I47" s="57" t="str">
        <f>JohnBugejaTributeWomenGames!D19</f>
        <v>Zabbar St. Patrick's</v>
      </c>
      <c r="J47" s="57">
        <v>3</v>
      </c>
      <c r="K47" s="57">
        <v>0</v>
      </c>
      <c r="L47" s="39"/>
      <c r="M47" s="40"/>
      <c r="N47" s="40"/>
      <c r="O47" s="53"/>
      <c r="P47" s="53"/>
      <c r="Q47" s="53"/>
      <c r="R47" s="53"/>
      <c r="S47" s="53"/>
      <c r="T47" s="53"/>
      <c r="U47" s="41"/>
      <c r="V47" s="38"/>
    </row>
    <row r="48" spans="1:22" ht="7.5" customHeight="1">
      <c r="A48" s="36"/>
      <c r="B48" s="37"/>
      <c r="C48" s="58"/>
      <c r="D48" s="48"/>
      <c r="E48" s="37"/>
      <c r="F48" s="42"/>
      <c r="G48" s="42"/>
      <c r="H48" s="42"/>
      <c r="I48" s="42"/>
      <c r="J48" s="42"/>
      <c r="K48" s="42"/>
      <c r="L48" s="39"/>
      <c r="M48" s="40"/>
      <c r="N48" s="40"/>
      <c r="O48" s="53"/>
      <c r="P48" s="53"/>
      <c r="Q48" s="53"/>
      <c r="R48" s="53"/>
      <c r="S48" s="53"/>
      <c r="T48" s="53"/>
      <c r="U48" s="41"/>
      <c r="V48" s="38"/>
    </row>
    <row r="49" spans="1:22" ht="15.75" customHeight="1">
      <c r="A49" s="36"/>
      <c r="B49" s="54" t="s">
        <v>62</v>
      </c>
      <c r="C49" s="55">
        <v>43015</v>
      </c>
      <c r="D49" s="56" t="s">
        <v>67</v>
      </c>
      <c r="E49" s="54" t="s">
        <v>64</v>
      </c>
      <c r="F49" s="57" t="str">
        <f>JohnBugejaTributeWomenGames!A20</f>
        <v>JBTW-18</v>
      </c>
      <c r="G49" s="57" t="str">
        <f>JohnBugejaTributeWomenGames!B20</f>
        <v>1st Round</v>
      </c>
      <c r="H49" s="57" t="str">
        <f>JohnBugejaTributeWomenGames!C20</f>
        <v>Fleur de Lys 1</v>
      </c>
      <c r="I49" s="57" t="str">
        <f>JohnBugejaTributeWomenGames!D20</f>
        <v>Sliema Wanderers</v>
      </c>
      <c r="J49" s="57">
        <v>3</v>
      </c>
      <c r="K49" s="57">
        <v>0</v>
      </c>
      <c r="L49" s="39"/>
      <c r="M49" s="40"/>
      <c r="N49" s="40"/>
      <c r="O49" s="53"/>
      <c r="P49" s="53"/>
      <c r="Q49" s="53"/>
      <c r="R49" s="53"/>
      <c r="S49" s="53"/>
      <c r="T49" s="53"/>
      <c r="U49" s="41"/>
      <c r="V49" s="38"/>
    </row>
    <row r="50" spans="1:22" ht="15.75" customHeight="1">
      <c r="A50" s="36"/>
      <c r="B50" s="37"/>
      <c r="C50" s="37"/>
      <c r="D50" s="48"/>
      <c r="E50" s="37"/>
      <c r="F50" s="37"/>
      <c r="G50" s="37"/>
      <c r="H50" s="37"/>
      <c r="I50" s="37"/>
      <c r="J50" s="37"/>
      <c r="K50" s="37"/>
      <c r="L50" s="39"/>
      <c r="M50" s="40"/>
      <c r="N50" s="40"/>
      <c r="O50" s="41"/>
      <c r="P50" s="41"/>
      <c r="Q50" s="41"/>
      <c r="R50" s="41"/>
      <c r="S50" s="41"/>
      <c r="T50" s="41"/>
      <c r="U50" s="41"/>
      <c r="V50" s="38"/>
    </row>
    <row r="51" spans="1:22" ht="15.75" customHeight="1">
      <c r="A51" s="36"/>
      <c r="B51" s="54" t="s">
        <v>68</v>
      </c>
      <c r="C51" s="55">
        <v>43016</v>
      </c>
      <c r="D51" s="56" t="s">
        <v>66</v>
      </c>
      <c r="E51" s="54" t="s">
        <v>64</v>
      </c>
      <c r="F51" s="57" t="str">
        <f>JohnBugejaTributeWomenGames!A21</f>
        <v>JBTW-19</v>
      </c>
      <c r="G51" s="57" t="str">
        <f>JohnBugejaTributeWomenGames!B21</f>
        <v>1st Round</v>
      </c>
      <c r="H51" s="57" t="str">
        <f>JohnBugejaTributeWomenGames!C21</f>
        <v>Balzan Flyers</v>
      </c>
      <c r="I51" s="57" t="str">
        <f>JohnBugejaTributeWomenGames!D21</f>
        <v>Mgarr Volley</v>
      </c>
      <c r="J51" s="57">
        <v>3</v>
      </c>
      <c r="K51" s="57">
        <v>2</v>
      </c>
      <c r="L51" s="39"/>
      <c r="M51" s="40"/>
      <c r="N51" s="40"/>
      <c r="O51" s="53"/>
      <c r="P51" s="53"/>
      <c r="Q51" s="53"/>
      <c r="R51" s="53"/>
      <c r="S51" s="53"/>
      <c r="T51" s="53"/>
      <c r="U51" s="41"/>
      <c r="V51" s="38"/>
    </row>
    <row r="52" spans="1:22" ht="7.5" customHeight="1">
      <c r="A52" s="36"/>
      <c r="B52" s="37"/>
      <c r="C52" s="58"/>
      <c r="D52" s="48"/>
      <c r="E52" s="37"/>
      <c r="F52" s="42"/>
      <c r="G52" s="42"/>
      <c r="H52" s="42"/>
      <c r="I52" s="42"/>
      <c r="J52" s="42"/>
      <c r="K52" s="42"/>
      <c r="L52" s="39"/>
      <c r="M52" s="40"/>
      <c r="N52" s="40"/>
      <c r="O52" s="53"/>
      <c r="P52" s="53"/>
      <c r="Q52" s="53"/>
      <c r="R52" s="53"/>
      <c r="S52" s="53"/>
      <c r="T52" s="53"/>
      <c r="U52" s="41"/>
      <c r="V52" s="38"/>
    </row>
    <row r="53" spans="1:22" ht="15.75" customHeight="1">
      <c r="A53" s="36"/>
      <c r="B53" s="54" t="s">
        <v>68</v>
      </c>
      <c r="C53" s="55">
        <v>43016</v>
      </c>
      <c r="D53" s="56" t="s">
        <v>67</v>
      </c>
      <c r="E53" s="54" t="s">
        <v>64</v>
      </c>
      <c r="F53" s="57" t="str">
        <f>JohnBugejaTributeWomenGames!A22</f>
        <v>JBTW-20</v>
      </c>
      <c r="G53" s="57" t="str">
        <f>JohnBugejaTributeWomenGames!B22</f>
        <v>1st Round</v>
      </c>
      <c r="H53" s="57" t="str">
        <f>JohnBugejaTributeWomenGames!C22</f>
        <v>Kavallieri</v>
      </c>
      <c r="I53" s="57" t="str">
        <f>JohnBugejaTributeWomenGames!D22</f>
        <v>Paola Volley</v>
      </c>
      <c r="J53" s="57">
        <v>0</v>
      </c>
      <c r="K53" s="57">
        <v>3</v>
      </c>
      <c r="L53" s="39"/>
      <c r="M53" s="40"/>
      <c r="N53" s="40"/>
      <c r="O53" s="53"/>
      <c r="P53" s="53"/>
      <c r="Q53" s="53"/>
      <c r="R53" s="53"/>
      <c r="S53" s="53"/>
      <c r="T53" s="53"/>
      <c r="U53" s="41"/>
      <c r="V53" s="38"/>
    </row>
    <row r="54" spans="1:22" ht="15.75" customHeight="1">
      <c r="A54" s="36"/>
      <c r="B54" s="37"/>
      <c r="C54" s="37"/>
      <c r="D54" s="48"/>
      <c r="E54" s="37"/>
      <c r="F54" s="37"/>
      <c r="G54" s="37"/>
      <c r="H54" s="37"/>
      <c r="I54" s="37"/>
      <c r="J54" s="37"/>
      <c r="K54" s="37"/>
      <c r="L54" s="39"/>
      <c r="M54" s="40"/>
      <c r="N54" s="40"/>
      <c r="O54" s="41"/>
      <c r="P54" s="41"/>
      <c r="Q54" s="41"/>
      <c r="R54" s="41"/>
      <c r="S54" s="41"/>
      <c r="T54" s="41"/>
      <c r="U54" s="41"/>
      <c r="V54" s="38"/>
    </row>
    <row r="55" spans="1:22" ht="15.75" customHeight="1">
      <c r="A55" s="36"/>
      <c r="B55" s="54" t="s">
        <v>62</v>
      </c>
      <c r="C55" s="55">
        <v>43022</v>
      </c>
      <c r="D55" s="56" t="s">
        <v>66</v>
      </c>
      <c r="E55" s="54" t="s">
        <v>64</v>
      </c>
      <c r="F55" s="57" t="str">
        <f>JohnBugejaTributeWomenGames!A23</f>
        <v>JBTW-21</v>
      </c>
      <c r="G55" s="57" t="str">
        <f>JohnBugejaTributeWomenGames!B23</f>
        <v>Semi-Final 1</v>
      </c>
      <c r="H55" s="57" t="str">
        <f>JohnBugejaTributeWomenGames!C23</f>
        <v>Balzan Flyers Crosscraft</v>
      </c>
      <c r="I55" s="57" t="str">
        <f>JohnBugejaTributeWomenGames!D23</f>
        <v>Paola Volley</v>
      </c>
      <c r="J55" s="57">
        <v>3</v>
      </c>
      <c r="K55" s="57">
        <v>1</v>
      </c>
      <c r="M55" s="40"/>
      <c r="N55" s="40"/>
      <c r="O55" s="53"/>
      <c r="P55" s="53"/>
      <c r="Q55" s="53"/>
      <c r="R55" s="53"/>
      <c r="S55" s="53"/>
      <c r="T55" s="53"/>
      <c r="U55" s="41"/>
      <c r="V55" s="38"/>
    </row>
    <row r="56" spans="1:22" ht="7.5" customHeight="1">
      <c r="A56" s="36"/>
      <c r="B56" s="37"/>
      <c r="C56" s="58"/>
      <c r="D56" s="48"/>
      <c r="E56" s="37"/>
      <c r="F56" s="42"/>
      <c r="G56" s="42"/>
      <c r="H56" s="42"/>
      <c r="I56" s="42"/>
      <c r="J56" s="42"/>
      <c r="K56" s="42"/>
      <c r="L56" s="39"/>
      <c r="M56" s="40"/>
      <c r="N56" s="40"/>
      <c r="O56" s="53"/>
      <c r="P56" s="53"/>
      <c r="Q56" s="53"/>
      <c r="R56" s="53"/>
      <c r="S56" s="53"/>
      <c r="T56" s="53"/>
      <c r="U56" s="41"/>
      <c r="V56" s="38"/>
    </row>
    <row r="57" spans="1:22" ht="15.75" customHeight="1">
      <c r="A57" s="36"/>
      <c r="B57" s="54" t="s">
        <v>62</v>
      </c>
      <c r="C57" s="55">
        <v>43022</v>
      </c>
      <c r="D57" s="56" t="s">
        <v>67</v>
      </c>
      <c r="E57" s="54" t="s">
        <v>64</v>
      </c>
      <c r="F57" s="57" t="str">
        <f>JohnBugejaTributeWomenGames!A24</f>
        <v>JBTW-22</v>
      </c>
      <c r="G57" s="57" t="str">
        <f>JohnBugejaTributeWomenGames!B24</f>
        <v>Semi-Final 2</v>
      </c>
      <c r="H57" s="57" t="str">
        <f>JohnBugejaTributeWomenGames!C24</f>
        <v>Mgarr Volley</v>
      </c>
      <c r="I57" s="57" t="str">
        <f>JohnBugejaTributeWomenGames!D24</f>
        <v>Fleur de Lys 1</v>
      </c>
      <c r="J57" s="57">
        <v>0</v>
      </c>
      <c r="K57" s="57">
        <v>3</v>
      </c>
      <c r="L57" s="39"/>
      <c r="M57" s="40"/>
      <c r="N57" s="40"/>
      <c r="O57" s="53"/>
      <c r="P57" s="53"/>
      <c r="Q57" s="53"/>
      <c r="R57" s="53"/>
      <c r="S57" s="53"/>
      <c r="T57" s="53"/>
      <c r="U57" s="41"/>
      <c r="V57" s="38"/>
    </row>
    <row r="58" spans="1:22" ht="15.75" customHeight="1">
      <c r="A58" s="36"/>
      <c r="B58" s="37"/>
      <c r="C58" s="37"/>
      <c r="D58" s="48"/>
      <c r="E58" s="37"/>
      <c r="F58" s="37"/>
      <c r="G58" s="37"/>
      <c r="H58" s="37"/>
      <c r="I58" s="37"/>
      <c r="J58" s="37"/>
      <c r="K58" s="37"/>
      <c r="L58" s="39"/>
      <c r="M58" s="40"/>
      <c r="N58" s="40"/>
      <c r="O58" s="41"/>
      <c r="P58" s="41"/>
      <c r="Q58" s="41"/>
      <c r="R58" s="41"/>
      <c r="S58" s="41"/>
      <c r="T58" s="41"/>
      <c r="U58" s="41"/>
      <c r="V58" s="38"/>
    </row>
    <row r="59" spans="1:22" ht="15.75" customHeight="1">
      <c r="A59" s="36"/>
      <c r="B59" s="54" t="s">
        <v>68</v>
      </c>
      <c r="C59" s="55">
        <v>43023</v>
      </c>
      <c r="D59" s="56" t="s">
        <v>66</v>
      </c>
      <c r="E59" s="54" t="s">
        <v>64</v>
      </c>
      <c r="F59" s="57" t="str">
        <f>JohnBugejaTributeWomenGames!A25</f>
        <v>JBTW-23</v>
      </c>
      <c r="G59" s="57" t="str">
        <f>JohnBugejaTributeWomenGames!B25</f>
        <v>Final 3/4</v>
      </c>
      <c r="H59" s="57" t="s">
        <v>41</v>
      </c>
      <c r="I59" s="57" t="s">
        <v>36</v>
      </c>
      <c r="J59" s="57">
        <v>3</v>
      </c>
      <c r="K59" s="57">
        <v>0</v>
      </c>
      <c r="L59" s="39"/>
      <c r="M59" s="40"/>
      <c r="N59" s="40"/>
      <c r="O59" s="53"/>
      <c r="P59" s="53"/>
      <c r="Q59" s="53"/>
      <c r="R59" s="53"/>
      <c r="S59" s="53"/>
      <c r="T59" s="53"/>
      <c r="U59" s="41"/>
      <c r="V59" s="38"/>
    </row>
    <row r="60" spans="1:22" ht="7.5" customHeight="1">
      <c r="A60" s="36"/>
      <c r="B60" s="37"/>
      <c r="C60" s="58"/>
      <c r="D60" s="48"/>
      <c r="E60" s="37"/>
      <c r="F60" s="42"/>
      <c r="G60" s="42"/>
      <c r="H60" s="42"/>
      <c r="I60" s="42"/>
      <c r="J60" s="42"/>
      <c r="K60" s="42"/>
      <c r="L60" s="39"/>
      <c r="M60" s="40"/>
      <c r="N60" s="40"/>
      <c r="O60" s="53"/>
      <c r="P60" s="53"/>
      <c r="Q60" s="53"/>
      <c r="R60" s="53"/>
      <c r="S60" s="53"/>
      <c r="T60" s="53"/>
      <c r="U60" s="41"/>
      <c r="V60" s="38"/>
    </row>
    <row r="61" spans="1:22" ht="15.75" customHeight="1">
      <c r="A61" s="36"/>
      <c r="B61" s="54" t="s">
        <v>68</v>
      </c>
      <c r="C61" s="55">
        <v>43023</v>
      </c>
      <c r="D61" s="56" t="s">
        <v>67</v>
      </c>
      <c r="E61" s="54" t="s">
        <v>64</v>
      </c>
      <c r="F61" s="57" t="str">
        <f>JohnBugejaTributeWomenGames!A26</f>
        <v>JBTW-24</v>
      </c>
      <c r="G61" s="57" t="str">
        <f>JohnBugejaTributeWomenGames!B26</f>
        <v>Final 1/2</v>
      </c>
      <c r="H61" s="57" t="s">
        <v>27</v>
      </c>
      <c r="I61" s="57" t="s">
        <v>28</v>
      </c>
      <c r="J61" s="57">
        <v>1</v>
      </c>
      <c r="K61" s="57">
        <v>3</v>
      </c>
      <c r="L61" s="39"/>
      <c r="M61" s="40"/>
      <c r="N61" s="40"/>
      <c r="O61" s="53"/>
      <c r="P61" s="53"/>
      <c r="Q61" s="53"/>
      <c r="R61" s="53"/>
      <c r="S61" s="53"/>
      <c r="T61" s="53"/>
      <c r="U61" s="41"/>
      <c r="V61" s="38"/>
    </row>
    <row r="62" spans="1:22" ht="15.75" customHeight="1">
      <c r="A62" s="36"/>
      <c r="B62" s="37"/>
      <c r="C62" s="37"/>
      <c r="D62" s="48"/>
      <c r="E62" s="37"/>
      <c r="F62" s="37"/>
      <c r="G62" s="37"/>
      <c r="H62" s="37"/>
      <c r="I62" s="37"/>
      <c r="J62" s="37"/>
      <c r="K62" s="37"/>
      <c r="L62" s="39"/>
      <c r="M62" s="40"/>
      <c r="N62" s="40"/>
      <c r="O62" s="41"/>
      <c r="P62" s="41"/>
      <c r="Q62" s="41"/>
      <c r="R62" s="41"/>
      <c r="S62" s="41"/>
      <c r="T62" s="41"/>
      <c r="U62" s="41"/>
      <c r="V62" s="38"/>
    </row>
    <row r="63" spans="1:22" ht="15.75" customHeight="1">
      <c r="A63" s="36"/>
      <c r="B63" s="60" t="s">
        <v>62</v>
      </c>
      <c r="C63" s="61">
        <v>43029</v>
      </c>
      <c r="D63" s="62" t="s">
        <v>66</v>
      </c>
      <c r="E63" s="60" t="s">
        <v>64</v>
      </c>
      <c r="F63" s="151"/>
      <c r="G63" s="142"/>
      <c r="H63" s="142"/>
      <c r="I63" s="142"/>
      <c r="J63" s="142"/>
      <c r="K63" s="143"/>
      <c r="L63" s="39"/>
      <c r="M63" s="40"/>
      <c r="N63" s="40"/>
      <c r="O63" s="53"/>
      <c r="P63" s="53"/>
      <c r="Q63" s="53"/>
      <c r="R63" s="53"/>
      <c r="S63" s="53"/>
      <c r="T63" s="53"/>
      <c r="U63" s="41"/>
      <c r="V63" s="38"/>
    </row>
    <row r="64" spans="1:22" ht="15.75" customHeight="1">
      <c r="A64" s="36"/>
      <c r="B64" s="37"/>
      <c r="C64" s="37"/>
      <c r="D64" s="48"/>
      <c r="E64" s="37"/>
      <c r="F64" s="37"/>
      <c r="G64" s="37"/>
      <c r="H64" s="37"/>
      <c r="I64" s="37"/>
      <c r="J64" s="37"/>
      <c r="K64" s="37"/>
      <c r="L64" s="39"/>
      <c r="M64" s="40"/>
      <c r="N64" s="40"/>
      <c r="O64" s="41"/>
      <c r="P64" s="41"/>
      <c r="Q64" s="41"/>
      <c r="R64" s="41"/>
      <c r="S64" s="41"/>
      <c r="T64" s="41"/>
      <c r="U64" s="41"/>
      <c r="V64" s="38"/>
    </row>
    <row r="65" spans="1:22" ht="15.75" customHeight="1">
      <c r="A65" s="36"/>
      <c r="B65" s="63" t="s">
        <v>68</v>
      </c>
      <c r="C65" s="64">
        <v>43030</v>
      </c>
      <c r="D65" s="65" t="s">
        <v>66</v>
      </c>
      <c r="E65" s="63" t="s">
        <v>64</v>
      </c>
      <c r="F65" s="66" t="str">
        <f>'Super Cup Women'!A3</f>
        <v>SCW-01</v>
      </c>
      <c r="G65" s="66" t="str">
        <f>'Super Cup Women'!B3</f>
        <v>Super Cup Final</v>
      </c>
      <c r="H65" s="66" t="str">
        <f>'Super Cup Women'!C3</f>
        <v>Balzan Flyers Crosscraft</v>
      </c>
      <c r="I65" s="66" t="str">
        <f>'Super Cup Women'!D3</f>
        <v>Fleur de Lys 1</v>
      </c>
      <c r="J65" s="66">
        <f>'Super Cup Women'!E3</f>
        <v>2</v>
      </c>
      <c r="K65" s="66">
        <f>'Super Cup Women'!F3</f>
        <v>3</v>
      </c>
      <c r="L65" s="39"/>
      <c r="M65" s="40"/>
      <c r="N65" s="40"/>
      <c r="O65" s="53"/>
      <c r="P65" s="53"/>
      <c r="Q65" s="53"/>
      <c r="R65" s="53"/>
      <c r="S65" s="53"/>
      <c r="T65" s="53"/>
      <c r="U65" s="41"/>
      <c r="V65" s="38"/>
    </row>
    <row r="66" spans="1:22" ht="15.75" customHeight="1">
      <c r="A66" s="36"/>
      <c r="B66" s="37"/>
      <c r="C66" s="37"/>
      <c r="D66" s="48"/>
      <c r="E66" s="37"/>
      <c r="F66" s="37"/>
      <c r="G66" s="37"/>
      <c r="H66" s="37"/>
      <c r="I66" s="37"/>
      <c r="J66" s="37"/>
      <c r="K66" s="37"/>
      <c r="L66" s="39"/>
      <c r="M66" s="40"/>
      <c r="N66" s="40"/>
      <c r="O66" s="41"/>
      <c r="P66" s="41"/>
      <c r="Q66" s="41"/>
      <c r="R66" s="41"/>
      <c r="S66" s="41"/>
      <c r="T66" s="41"/>
      <c r="U66" s="41"/>
      <c r="V66" s="38"/>
    </row>
    <row r="67" spans="1:22" ht="15.75" customHeight="1">
      <c r="A67" s="36"/>
      <c r="B67" s="67" t="s">
        <v>62</v>
      </c>
      <c r="C67" s="68">
        <v>43036</v>
      </c>
      <c r="D67" s="69" t="s">
        <v>66</v>
      </c>
      <c r="E67" s="67" t="s">
        <v>64</v>
      </c>
      <c r="F67" s="70" t="str">
        <f>'1st Division League - Women'!A3</f>
        <v>1LW-01</v>
      </c>
      <c r="G67" s="70" t="str">
        <f>'1st Division League - Women'!B3</f>
        <v>1st Round</v>
      </c>
      <c r="H67" s="70" t="str">
        <f>'1st Division League - Women'!C3</f>
        <v>Zabbar St. Patrick's</v>
      </c>
      <c r="I67" s="70" t="str">
        <f>'1st Division League - Women'!D3</f>
        <v>Balzan Flyers</v>
      </c>
      <c r="J67" s="70">
        <v>1</v>
      </c>
      <c r="K67" s="70">
        <v>3</v>
      </c>
      <c r="L67" s="39"/>
      <c r="M67" s="40"/>
      <c r="N67" s="40"/>
      <c r="O67" s="53"/>
      <c r="P67" s="53"/>
      <c r="Q67" s="53"/>
      <c r="R67" s="53"/>
      <c r="S67" s="53"/>
      <c r="T67" s="53"/>
      <c r="U67" s="41"/>
      <c r="V67" s="38"/>
    </row>
    <row r="68" spans="1:22" ht="7.5" customHeight="1">
      <c r="A68" s="36"/>
      <c r="B68" s="37"/>
      <c r="C68" s="58"/>
      <c r="D68" s="48"/>
      <c r="E68" s="37"/>
      <c r="F68" s="42"/>
      <c r="G68" s="42"/>
      <c r="H68" s="42"/>
      <c r="I68" s="42"/>
      <c r="J68" s="42"/>
      <c r="K68" s="42"/>
      <c r="L68" s="39"/>
      <c r="M68" s="40"/>
      <c r="N68" s="40"/>
      <c r="O68" s="53"/>
      <c r="P68" s="53"/>
      <c r="Q68" s="53"/>
      <c r="R68" s="53"/>
      <c r="S68" s="53"/>
      <c r="T68" s="53"/>
      <c r="U68" s="41"/>
      <c r="V68" s="38"/>
    </row>
    <row r="69" spans="1:22" ht="15.75" customHeight="1">
      <c r="A69" s="36"/>
      <c r="B69" s="67" t="s">
        <v>62</v>
      </c>
      <c r="C69" s="68">
        <v>43036</v>
      </c>
      <c r="D69" s="69" t="s">
        <v>67</v>
      </c>
      <c r="E69" s="67" t="s">
        <v>64</v>
      </c>
      <c r="F69" s="70" t="str">
        <f>'1st Division League - Women'!A4</f>
        <v>1LW-02</v>
      </c>
      <c r="G69" s="70" t="str">
        <f>'1st Division League - Women'!B4</f>
        <v>1st Round</v>
      </c>
      <c r="H69" s="70" t="str">
        <f>'1st Division League - Women'!C4</f>
        <v>Birkirkara</v>
      </c>
      <c r="I69" s="70" t="str">
        <f>'1st Division League - Women'!D4</f>
        <v>Mellieha</v>
      </c>
      <c r="J69" s="70">
        <v>3</v>
      </c>
      <c r="K69" s="70">
        <v>0</v>
      </c>
      <c r="L69" s="39"/>
      <c r="M69" s="40"/>
      <c r="N69" s="40"/>
      <c r="O69" s="53"/>
      <c r="P69" s="53"/>
      <c r="Q69" s="53"/>
      <c r="R69" s="53"/>
      <c r="S69" s="53"/>
      <c r="T69" s="53"/>
      <c r="U69" s="41"/>
      <c r="V69" s="38"/>
    </row>
    <row r="70" spans="1:22" ht="7.5" customHeight="1">
      <c r="A70" s="36"/>
      <c r="B70" s="37"/>
      <c r="C70" s="58"/>
      <c r="D70" s="48"/>
      <c r="E70" s="37"/>
      <c r="F70" s="42"/>
      <c r="G70" s="42"/>
      <c r="H70" s="42"/>
      <c r="I70" s="42"/>
      <c r="J70" s="42"/>
      <c r="K70" s="42"/>
      <c r="L70" s="39"/>
      <c r="M70" s="40"/>
      <c r="N70" s="40"/>
      <c r="O70" s="53"/>
      <c r="P70" s="53"/>
      <c r="Q70" s="53"/>
      <c r="R70" s="53"/>
      <c r="S70" s="53"/>
      <c r="T70" s="53"/>
      <c r="U70" s="41"/>
      <c r="V70" s="38"/>
    </row>
    <row r="71" spans="1:22" ht="15.75" customHeight="1">
      <c r="A71" s="36"/>
      <c r="B71" s="50" t="s">
        <v>62</v>
      </c>
      <c r="C71" s="51">
        <v>43036</v>
      </c>
      <c r="D71" s="52" t="s">
        <v>73</v>
      </c>
      <c r="E71" s="50" t="s">
        <v>64</v>
      </c>
      <c r="F71" s="71" t="str">
        <f>'Super League - Men'!A3</f>
        <v>SLM-01</v>
      </c>
      <c r="G71" s="71" t="str">
        <f>'Super League - Men'!B3</f>
        <v>1st Round</v>
      </c>
      <c r="H71" s="71" t="str">
        <f>'Super League - Men'!C3</f>
        <v>Mgarr Volley</v>
      </c>
      <c r="I71" s="71" t="str">
        <f>'Super League - Men'!D3</f>
        <v>Aloysians Ice</v>
      </c>
      <c r="J71" s="71">
        <v>0</v>
      </c>
      <c r="K71" s="71">
        <v>3</v>
      </c>
      <c r="L71" s="39"/>
      <c r="M71" s="40"/>
      <c r="N71" s="40"/>
      <c r="O71" s="53"/>
      <c r="P71" s="53"/>
      <c r="Q71" s="53"/>
      <c r="R71" s="53"/>
      <c r="S71" s="53"/>
      <c r="T71" s="53"/>
      <c r="U71" s="41"/>
      <c r="V71" s="38"/>
    </row>
    <row r="72" spans="1:22" ht="15.75" customHeight="1">
      <c r="A72" s="36"/>
      <c r="B72" s="37"/>
      <c r="C72" s="37"/>
      <c r="D72" s="48"/>
      <c r="E72" s="37"/>
      <c r="F72" s="37"/>
      <c r="G72" s="37"/>
      <c r="H72" s="37"/>
      <c r="I72" s="37"/>
      <c r="J72" s="37"/>
      <c r="K72" s="37"/>
      <c r="L72" s="39"/>
      <c r="M72" s="40"/>
      <c r="N72" s="40"/>
      <c r="O72" s="41"/>
      <c r="P72" s="41"/>
      <c r="Q72" s="41"/>
      <c r="R72" s="41"/>
      <c r="S72" s="41"/>
      <c r="T72" s="41"/>
      <c r="U72" s="41"/>
      <c r="V72" s="38"/>
    </row>
    <row r="73" spans="1:22" ht="15.75" customHeight="1">
      <c r="A73" s="36"/>
      <c r="B73" s="72" t="s">
        <v>68</v>
      </c>
      <c r="C73" s="73">
        <v>43037</v>
      </c>
      <c r="D73" s="74" t="s">
        <v>66</v>
      </c>
      <c r="E73" s="72" t="s">
        <v>64</v>
      </c>
      <c r="F73" s="75" t="str">
        <f>'Super League - Women'!A3</f>
        <v>SLW-01</v>
      </c>
      <c r="G73" s="75" t="str">
        <f>'Super League - Women'!B3</f>
        <v>1st Round</v>
      </c>
      <c r="H73" s="75" t="str">
        <f>'Super League - Women'!C3</f>
        <v>Fleur de Lys Royal Panda</v>
      </c>
      <c r="I73" s="75" t="str">
        <f>'Super League - Women'!D3</f>
        <v>Paola Volley</v>
      </c>
      <c r="J73" s="75">
        <v>3</v>
      </c>
      <c r="K73" s="75">
        <v>0</v>
      </c>
      <c r="L73" s="39"/>
      <c r="M73" s="40"/>
      <c r="N73" s="40"/>
      <c r="O73" s="53"/>
      <c r="P73" s="53"/>
      <c r="Q73" s="53"/>
      <c r="R73" s="53"/>
      <c r="S73" s="53"/>
      <c r="T73" s="53"/>
      <c r="U73" s="41"/>
      <c r="V73" s="38"/>
    </row>
    <row r="74" spans="1:22" ht="7.5" customHeight="1">
      <c r="A74" s="36"/>
      <c r="B74" s="37"/>
      <c r="C74" s="58"/>
      <c r="D74" s="48"/>
      <c r="E74" s="37"/>
      <c r="F74" s="42"/>
      <c r="G74" s="42"/>
      <c r="H74" s="42"/>
      <c r="I74" s="42"/>
      <c r="J74" s="42"/>
      <c r="K74" s="42"/>
      <c r="L74" s="39"/>
      <c r="M74" s="40"/>
      <c r="N74" s="40"/>
      <c r="O74" s="53"/>
      <c r="P74" s="53"/>
      <c r="Q74" s="53"/>
      <c r="R74" s="53"/>
      <c r="S74" s="53"/>
      <c r="T74" s="53"/>
      <c r="U74" s="41"/>
      <c r="V74" s="38"/>
    </row>
    <row r="75" spans="1:22" ht="15.75" customHeight="1">
      <c r="A75" s="36"/>
      <c r="B75" s="72" t="s">
        <v>68</v>
      </c>
      <c r="C75" s="73">
        <v>43037</v>
      </c>
      <c r="D75" s="74" t="s">
        <v>67</v>
      </c>
      <c r="E75" s="72" t="s">
        <v>64</v>
      </c>
      <c r="F75" s="75" t="str">
        <f>'Super League - Women'!A4</f>
        <v>SLW-02</v>
      </c>
      <c r="G75" s="75" t="str">
        <f>'Super League - Women'!B4</f>
        <v>1st Round</v>
      </c>
      <c r="H75" s="75" t="str">
        <f>'Super League - Women'!C4</f>
        <v>Sliema Wanderers</v>
      </c>
      <c r="I75" s="75" t="str">
        <f>'Super League - Women'!D4</f>
        <v>Kavallieri</v>
      </c>
      <c r="J75" s="75">
        <v>3</v>
      </c>
      <c r="K75" s="75">
        <v>0</v>
      </c>
      <c r="L75" s="39"/>
      <c r="M75" s="40"/>
      <c r="N75" s="40"/>
      <c r="O75" s="53"/>
      <c r="P75" s="53"/>
      <c r="Q75" s="53"/>
      <c r="R75" s="53"/>
      <c r="S75" s="53"/>
      <c r="T75" s="53"/>
      <c r="U75" s="41"/>
      <c r="V75" s="38"/>
    </row>
    <row r="76" spans="1:22" ht="7.5" customHeight="1">
      <c r="A76" s="36"/>
      <c r="B76" s="37"/>
      <c r="C76" s="58"/>
      <c r="D76" s="48"/>
      <c r="E76" s="37"/>
      <c r="F76" s="42"/>
      <c r="G76" s="42"/>
      <c r="H76" s="42"/>
      <c r="I76" s="42"/>
      <c r="J76" s="42"/>
      <c r="K76" s="42"/>
      <c r="L76" s="39"/>
      <c r="M76" s="40"/>
      <c r="N76" s="40"/>
      <c r="O76" s="53"/>
      <c r="P76" s="53"/>
      <c r="Q76" s="53"/>
      <c r="R76" s="53"/>
      <c r="S76" s="53"/>
      <c r="T76" s="53"/>
      <c r="U76" s="41"/>
      <c r="V76" s="38"/>
    </row>
    <row r="77" spans="1:22" ht="15.75" customHeight="1">
      <c r="A77" s="36"/>
      <c r="B77" s="50" t="s">
        <v>68</v>
      </c>
      <c r="C77" s="51">
        <v>43037</v>
      </c>
      <c r="D77" s="52" t="s">
        <v>73</v>
      </c>
      <c r="E77" s="50" t="s">
        <v>64</v>
      </c>
      <c r="F77" s="71" t="str">
        <f>'Super League - Men'!A4</f>
        <v>SLM-02</v>
      </c>
      <c r="G77" s="71" t="str">
        <f>'Super League - Men'!B4</f>
        <v>1st Round</v>
      </c>
      <c r="H77" s="71" t="str">
        <f>'Super League - Men'!C4</f>
        <v>Valletta Mapei</v>
      </c>
      <c r="I77" s="71" t="str">
        <f>'Super League - Men'!D4</f>
        <v>Aloysians Fire</v>
      </c>
      <c r="J77" s="71">
        <v>3</v>
      </c>
      <c r="K77" s="71">
        <v>2</v>
      </c>
      <c r="L77" s="39"/>
      <c r="M77" s="40"/>
      <c r="N77" s="40"/>
      <c r="O77" s="53"/>
      <c r="P77" s="53"/>
      <c r="Q77" s="53"/>
      <c r="R77" s="53"/>
      <c r="S77" s="53"/>
      <c r="T77" s="53"/>
      <c r="U77" s="41"/>
      <c r="V77" s="38"/>
    </row>
    <row r="78" spans="1:22" ht="15.75" customHeight="1">
      <c r="A78" s="36"/>
      <c r="B78" s="37"/>
      <c r="C78" s="37"/>
      <c r="D78" s="48"/>
      <c r="E78" s="37"/>
      <c r="F78" s="37"/>
      <c r="G78" s="37"/>
      <c r="H78" s="37"/>
      <c r="I78" s="37"/>
      <c r="J78" s="37"/>
      <c r="K78" s="37"/>
      <c r="L78" s="39"/>
      <c r="M78" s="40"/>
      <c r="N78" s="40"/>
      <c r="O78" s="41"/>
      <c r="P78" s="41"/>
      <c r="Q78" s="41"/>
      <c r="R78" s="41"/>
      <c r="S78" s="41"/>
      <c r="T78" s="41"/>
      <c r="U78" s="41"/>
      <c r="V78" s="38"/>
    </row>
    <row r="79" spans="1:22" ht="26.25" customHeight="1">
      <c r="A79" s="49"/>
      <c r="B79" s="138" t="s">
        <v>74</v>
      </c>
      <c r="C79" s="139"/>
      <c r="D79" s="139"/>
      <c r="E79" s="139"/>
      <c r="F79" s="139"/>
      <c r="G79" s="139"/>
      <c r="H79" s="139"/>
      <c r="I79" s="139"/>
      <c r="J79" s="139"/>
      <c r="K79" s="140"/>
      <c r="L79" s="39"/>
      <c r="M79" s="40"/>
      <c r="N79" s="40"/>
      <c r="O79" s="41"/>
      <c r="P79" s="41"/>
      <c r="Q79" s="41"/>
      <c r="R79" s="41"/>
      <c r="S79" s="41"/>
      <c r="T79" s="41"/>
      <c r="U79" s="41"/>
      <c r="V79" s="38"/>
    </row>
    <row r="80" spans="1:22" ht="15.75" customHeight="1">
      <c r="A80" s="36"/>
      <c r="B80" s="37"/>
      <c r="C80" s="37"/>
      <c r="D80" s="48"/>
      <c r="E80" s="37"/>
      <c r="F80" s="37"/>
      <c r="G80" s="37"/>
      <c r="H80" s="37"/>
      <c r="I80" s="37"/>
      <c r="J80" s="37"/>
      <c r="K80" s="37"/>
      <c r="L80" s="39"/>
      <c r="M80" s="40"/>
      <c r="N80" s="40"/>
      <c r="O80" s="41"/>
      <c r="P80" s="41"/>
      <c r="Q80" s="41"/>
      <c r="R80" s="41"/>
      <c r="S80" s="41"/>
      <c r="T80" s="41"/>
      <c r="U80" s="41"/>
      <c r="V80" s="38"/>
    </row>
    <row r="81" spans="1:22" ht="15.75" customHeight="1">
      <c r="A81" s="36"/>
      <c r="B81" s="72" t="s">
        <v>75</v>
      </c>
      <c r="C81" s="73">
        <v>43042</v>
      </c>
      <c r="D81" s="74" t="s">
        <v>76</v>
      </c>
      <c r="E81" s="72" t="s">
        <v>64</v>
      </c>
      <c r="F81" s="75" t="str">
        <f>'Super League - Women'!A5</f>
        <v>SLW-03</v>
      </c>
      <c r="G81" s="75" t="str">
        <f>'Super League - Women'!B5</f>
        <v>1st Round</v>
      </c>
      <c r="H81" s="75" t="str">
        <f>'Super League - Women'!C5</f>
        <v>Balzan Flyers Crosscraft</v>
      </c>
      <c r="I81" s="75" t="str">
        <f>'Super League - Women'!D5</f>
        <v>Fleur de Lys Royal Panda</v>
      </c>
      <c r="J81" s="75">
        <f>'Super League - Women'!E5</f>
        <v>0</v>
      </c>
      <c r="K81" s="75">
        <f>'Super League - Women'!F5</f>
        <v>0</v>
      </c>
      <c r="L81" s="76" t="s">
        <v>79</v>
      </c>
      <c r="M81" s="40"/>
      <c r="N81" s="40"/>
      <c r="O81" s="53"/>
      <c r="P81" s="53"/>
      <c r="Q81" s="53"/>
      <c r="R81" s="53"/>
      <c r="S81" s="53"/>
      <c r="T81" s="53"/>
      <c r="U81" s="41"/>
      <c r="V81" s="38"/>
    </row>
    <row r="82" spans="1:22" ht="15.75" customHeight="1">
      <c r="A82" s="36"/>
      <c r="B82" s="37"/>
      <c r="C82" s="37"/>
      <c r="D82" s="48"/>
      <c r="E82" s="37"/>
      <c r="F82" s="37"/>
      <c r="G82" s="37"/>
      <c r="H82" s="37"/>
      <c r="I82" s="37"/>
      <c r="J82" s="37"/>
      <c r="K82" s="37"/>
      <c r="L82" s="39"/>
      <c r="M82" s="40"/>
      <c r="N82" s="40"/>
      <c r="O82" s="41"/>
      <c r="P82" s="41"/>
      <c r="Q82" s="41"/>
      <c r="R82" s="41"/>
      <c r="S82" s="41"/>
      <c r="T82" s="41"/>
      <c r="U82" s="41"/>
      <c r="V82" s="38"/>
    </row>
    <row r="83" spans="1:22" ht="15.75" customHeight="1">
      <c r="A83" s="36"/>
      <c r="B83" s="67" t="s">
        <v>62</v>
      </c>
      <c r="C83" s="68">
        <v>43043</v>
      </c>
      <c r="D83" s="69" t="s">
        <v>66</v>
      </c>
      <c r="E83" s="67" t="s">
        <v>64</v>
      </c>
      <c r="F83" s="70" t="str">
        <f>'1st Division League - Women'!A5</f>
        <v>1LW-03</v>
      </c>
      <c r="G83" s="70" t="str">
        <f>'1st Division League - Women'!B5</f>
        <v>1st Round</v>
      </c>
      <c r="H83" s="70" t="str">
        <f>'1st Division League - Women'!C5</f>
        <v>Fleur de Lys Swatch</v>
      </c>
      <c r="I83" s="70" t="str">
        <f>'1st Division League - Women'!D5</f>
        <v>Mgarr Volley</v>
      </c>
      <c r="J83" s="70">
        <v>2</v>
      </c>
      <c r="K83" s="70">
        <v>3</v>
      </c>
      <c r="L83" s="39"/>
      <c r="M83" s="40"/>
      <c r="N83" s="40"/>
      <c r="O83" s="53"/>
      <c r="P83" s="53"/>
      <c r="Q83" s="53"/>
      <c r="R83" s="53"/>
      <c r="S83" s="53"/>
      <c r="T83" s="53"/>
      <c r="U83" s="41"/>
      <c r="V83" s="38"/>
    </row>
    <row r="84" spans="1:22" ht="7.5" customHeight="1">
      <c r="A84" s="36"/>
      <c r="B84" s="37"/>
      <c r="C84" s="58"/>
      <c r="D84" s="48"/>
      <c r="E84" s="37"/>
      <c r="F84" s="42"/>
      <c r="G84" s="42"/>
      <c r="H84" s="42"/>
      <c r="I84" s="42"/>
      <c r="J84" s="42"/>
      <c r="K84" s="42"/>
      <c r="L84" s="39"/>
      <c r="M84" s="40"/>
      <c r="N84" s="40"/>
      <c r="O84" s="53"/>
      <c r="P84" s="53"/>
      <c r="Q84" s="53"/>
      <c r="R84" s="53"/>
      <c r="S84" s="53"/>
      <c r="T84" s="53"/>
      <c r="U84" s="41"/>
      <c r="V84" s="38"/>
    </row>
    <row r="85" spans="1:22" ht="15.75" customHeight="1">
      <c r="A85" s="36"/>
      <c r="B85" s="67" t="s">
        <v>62</v>
      </c>
      <c r="C85" s="68">
        <v>43043</v>
      </c>
      <c r="D85" s="69" t="s">
        <v>67</v>
      </c>
      <c r="E85" s="67" t="s">
        <v>64</v>
      </c>
      <c r="F85" s="70" t="str">
        <f>'1st Division League - Women'!A6</f>
        <v>1LW-04</v>
      </c>
      <c r="G85" s="70" t="str">
        <f>'1st Division League - Women'!B6</f>
        <v>1st Round</v>
      </c>
      <c r="H85" s="70" t="str">
        <f>'1st Division League - Women'!C6</f>
        <v>Balzan Flyers</v>
      </c>
      <c r="I85" s="70" t="str">
        <f>'1st Division League - Women'!D6</f>
        <v>Swieqi Phoenix</v>
      </c>
      <c r="J85" s="70">
        <v>1</v>
      </c>
      <c r="K85" s="70">
        <v>3</v>
      </c>
      <c r="L85" s="39"/>
      <c r="M85" s="40"/>
      <c r="N85" s="40"/>
      <c r="O85" s="53"/>
      <c r="P85" s="53"/>
      <c r="Q85" s="53"/>
      <c r="R85" s="53"/>
      <c r="S85" s="53"/>
      <c r="T85" s="53"/>
      <c r="U85" s="41"/>
      <c r="V85" s="38"/>
    </row>
    <row r="86" spans="1:22" ht="7.5" customHeight="1">
      <c r="A86" s="36"/>
      <c r="B86" s="37"/>
      <c r="C86" s="58"/>
      <c r="D86" s="48"/>
      <c r="E86" s="37"/>
      <c r="F86" s="42"/>
      <c r="G86" s="42"/>
      <c r="H86" s="42"/>
      <c r="I86" s="42"/>
      <c r="J86" s="42"/>
      <c r="K86" s="42"/>
      <c r="L86" s="39"/>
      <c r="M86" s="40"/>
      <c r="N86" s="40"/>
      <c r="O86" s="53"/>
      <c r="P86" s="53"/>
      <c r="Q86" s="53"/>
      <c r="R86" s="53"/>
      <c r="S86" s="53"/>
      <c r="T86" s="53"/>
      <c r="U86" s="41"/>
      <c r="V86" s="38"/>
    </row>
    <row r="87" spans="1:22" ht="15.75" customHeight="1">
      <c r="A87" s="36"/>
      <c r="B87" s="67" t="s">
        <v>62</v>
      </c>
      <c r="C87" s="68">
        <v>43043</v>
      </c>
      <c r="D87" s="69" t="s">
        <v>73</v>
      </c>
      <c r="E87" s="67" t="s">
        <v>64</v>
      </c>
      <c r="F87" s="70" t="str">
        <f>'1st Division League - Women'!A13</f>
        <v>1LW-11</v>
      </c>
      <c r="G87" s="70" t="str">
        <f>'1st Division League - Women'!B13</f>
        <v>1st Round</v>
      </c>
      <c r="H87" s="70" t="str">
        <f>'1st Division League - Women'!C13</f>
        <v>Mellieha</v>
      </c>
      <c r="I87" s="70" t="str">
        <f>'1st Division League - Women'!D13</f>
        <v>Zabbar St. Patrick's</v>
      </c>
      <c r="J87" s="70">
        <v>0</v>
      </c>
      <c r="K87" s="70">
        <v>3</v>
      </c>
      <c r="L87" s="39"/>
      <c r="M87" s="40"/>
      <c r="N87" s="40"/>
      <c r="O87" s="53"/>
      <c r="P87" s="53"/>
      <c r="Q87" s="53"/>
      <c r="R87" s="53"/>
      <c r="S87" s="53"/>
      <c r="T87" s="53"/>
      <c r="U87" s="41"/>
      <c r="V87" s="38"/>
    </row>
    <row r="88" spans="1:22" ht="15.75" customHeight="1">
      <c r="A88" s="36"/>
      <c r="B88" s="37"/>
      <c r="C88" s="37"/>
      <c r="D88" s="48"/>
      <c r="E88" s="37"/>
      <c r="F88" s="37"/>
      <c r="G88" s="37"/>
      <c r="H88" s="37"/>
      <c r="I88" s="37"/>
      <c r="J88" s="37"/>
      <c r="K88" s="37"/>
      <c r="L88" s="39"/>
      <c r="M88" s="40"/>
      <c r="N88" s="40"/>
      <c r="O88" s="41"/>
      <c r="P88" s="41"/>
      <c r="Q88" s="41"/>
      <c r="R88" s="41"/>
      <c r="S88" s="41"/>
      <c r="T88" s="41"/>
      <c r="U88" s="41"/>
      <c r="V88" s="38"/>
    </row>
    <row r="89" spans="1:22" ht="15.75" customHeight="1">
      <c r="A89" s="36"/>
      <c r="B89" s="78" t="s">
        <v>68</v>
      </c>
      <c r="C89" s="79">
        <v>43044</v>
      </c>
      <c r="D89" s="80" t="s">
        <v>66</v>
      </c>
      <c r="E89" s="78" t="s">
        <v>64</v>
      </c>
      <c r="F89" s="82" t="str">
        <f>'Under 18 League - Women'!A3</f>
        <v>18LW-01</v>
      </c>
      <c r="G89" s="82" t="str">
        <f>'Under 18 League - Women'!B3</f>
        <v>1st Round</v>
      </c>
      <c r="H89" s="82" t="str">
        <f>'Under 18 League - Women'!C3</f>
        <v>Paola Volley</v>
      </c>
      <c r="I89" s="82" t="str">
        <f>'Under 18 League - Women'!D3</f>
        <v>Swieqi Phoenix</v>
      </c>
      <c r="J89" s="82">
        <v>1</v>
      </c>
      <c r="K89" s="82">
        <v>3</v>
      </c>
      <c r="L89" s="39"/>
      <c r="M89" s="40"/>
      <c r="N89" s="40"/>
      <c r="O89" s="53"/>
      <c r="P89" s="53"/>
      <c r="Q89" s="53"/>
      <c r="R89" s="53"/>
      <c r="S89" s="53"/>
      <c r="T89" s="53"/>
      <c r="U89" s="41"/>
      <c r="V89" s="38"/>
    </row>
    <row r="90" spans="1:22" ht="7.5" customHeight="1">
      <c r="A90" s="36"/>
      <c r="B90" s="37"/>
      <c r="C90" s="58"/>
      <c r="D90" s="48"/>
      <c r="E90" s="37"/>
      <c r="F90" s="42"/>
      <c r="G90" s="42"/>
      <c r="H90" s="42"/>
      <c r="I90" s="42"/>
      <c r="J90" s="42"/>
      <c r="K90" s="42"/>
      <c r="L90" s="39"/>
      <c r="M90" s="40"/>
      <c r="N90" s="40"/>
      <c r="O90" s="53"/>
      <c r="P90" s="53"/>
      <c r="Q90" s="53"/>
      <c r="R90" s="53"/>
      <c r="S90" s="53"/>
      <c r="T90" s="53"/>
      <c r="U90" s="41"/>
      <c r="V90" s="38"/>
    </row>
    <row r="91" spans="1:22" ht="15.75" customHeight="1">
      <c r="A91" s="36"/>
      <c r="B91" s="72" t="s">
        <v>68</v>
      </c>
      <c r="C91" s="73">
        <v>43044</v>
      </c>
      <c r="D91" s="74" t="s">
        <v>67</v>
      </c>
      <c r="E91" s="72" t="s">
        <v>64</v>
      </c>
      <c r="F91" s="75" t="str">
        <f>'Super League - Women'!A6</f>
        <v>SLW-04</v>
      </c>
      <c r="G91" s="75" t="str">
        <f>'Super League - Women'!B6</f>
        <v>1st Round</v>
      </c>
      <c r="H91" s="75" t="str">
        <f>'Super League - Women'!C6</f>
        <v>Paola Volley</v>
      </c>
      <c r="I91" s="75" t="str">
        <f>'Super League - Women'!D6</f>
        <v>Sliema Wanderers</v>
      </c>
      <c r="J91" s="75">
        <v>3</v>
      </c>
      <c r="K91" s="75">
        <v>2</v>
      </c>
      <c r="L91" s="39"/>
      <c r="M91" s="40"/>
      <c r="N91" s="40"/>
      <c r="O91" s="53"/>
      <c r="P91" s="53"/>
      <c r="Q91" s="53"/>
      <c r="R91" s="53"/>
      <c r="S91" s="53"/>
      <c r="T91" s="53"/>
      <c r="U91" s="41"/>
      <c r="V91" s="38"/>
    </row>
    <row r="92" spans="1:22" ht="7.5" customHeight="1">
      <c r="A92" s="36"/>
      <c r="B92" s="37"/>
      <c r="C92" s="58"/>
      <c r="D92" s="48"/>
      <c r="E92" s="37"/>
      <c r="F92" s="42"/>
      <c r="G92" s="42"/>
      <c r="H92" s="42"/>
      <c r="I92" s="42"/>
      <c r="J92" s="42"/>
      <c r="K92" s="42"/>
      <c r="L92" s="39"/>
      <c r="M92" s="40"/>
      <c r="N92" s="40"/>
      <c r="O92" s="53"/>
      <c r="P92" s="53"/>
      <c r="Q92" s="53"/>
      <c r="R92" s="53"/>
      <c r="S92" s="53"/>
      <c r="T92" s="53"/>
      <c r="U92" s="41"/>
      <c r="V92" s="38"/>
    </row>
    <row r="93" spans="1:22" ht="15.75" customHeight="1">
      <c r="A93" s="36"/>
      <c r="B93" s="72" t="s">
        <v>68</v>
      </c>
      <c r="C93" s="73">
        <v>43044</v>
      </c>
      <c r="D93" s="74" t="s">
        <v>73</v>
      </c>
      <c r="E93" s="72" t="s">
        <v>64</v>
      </c>
      <c r="F93" s="75" t="str">
        <f>'Super League - Women'!A7</f>
        <v>SLW-05</v>
      </c>
      <c r="G93" s="75" t="str">
        <f>'Super League - Women'!B7</f>
        <v>1st Round</v>
      </c>
      <c r="H93" s="75" t="str">
        <f>'Super League - Women'!C7</f>
        <v>Kavallieri</v>
      </c>
      <c r="I93" s="75" t="str">
        <f>'Super League - Women'!D7</f>
        <v>Fleur de Lys Royal Panda</v>
      </c>
      <c r="J93" s="75">
        <v>0</v>
      </c>
      <c r="K93" s="75">
        <v>3</v>
      </c>
      <c r="L93" s="39"/>
      <c r="M93" s="40"/>
      <c r="N93" s="40"/>
      <c r="O93" s="53"/>
      <c r="P93" s="53"/>
      <c r="Q93" s="53"/>
      <c r="R93" s="53"/>
      <c r="S93" s="53"/>
      <c r="T93" s="53"/>
      <c r="U93" s="41"/>
      <c r="V93" s="38"/>
    </row>
    <row r="94" spans="1:22" ht="15.75" customHeight="1">
      <c r="A94" s="36"/>
      <c r="B94" s="37"/>
      <c r="C94" s="37"/>
      <c r="D94" s="48"/>
      <c r="E94" s="37"/>
      <c r="F94" s="37"/>
      <c r="G94" s="37"/>
      <c r="H94" s="37"/>
      <c r="I94" s="37"/>
      <c r="J94" s="37"/>
      <c r="K94" s="37"/>
      <c r="L94" s="39"/>
      <c r="M94" s="40"/>
      <c r="N94" s="40"/>
      <c r="O94" s="41"/>
      <c r="P94" s="41"/>
      <c r="Q94" s="41"/>
      <c r="R94" s="41"/>
      <c r="S94" s="41"/>
      <c r="T94" s="41"/>
      <c r="U94" s="41"/>
      <c r="V94" s="38"/>
    </row>
    <row r="95" spans="1:22" ht="15.75" customHeight="1">
      <c r="A95" s="36"/>
      <c r="B95" s="54" t="s">
        <v>62</v>
      </c>
      <c r="C95" s="55">
        <v>43050</v>
      </c>
      <c r="D95" s="56"/>
      <c r="E95" s="54" t="s">
        <v>64</v>
      </c>
      <c r="F95" s="150" t="s">
        <v>92</v>
      </c>
      <c r="G95" s="142"/>
      <c r="H95" s="142"/>
      <c r="I95" s="142"/>
      <c r="J95" s="142"/>
      <c r="K95" s="143"/>
      <c r="L95" s="39"/>
      <c r="M95" s="40"/>
      <c r="N95" s="40"/>
      <c r="O95" s="53"/>
      <c r="P95" s="53"/>
      <c r="Q95" s="53"/>
      <c r="R95" s="53"/>
      <c r="S95" s="53"/>
      <c r="T95" s="53"/>
      <c r="U95" s="41"/>
      <c r="V95" s="38"/>
    </row>
    <row r="96" spans="1:22" ht="15.75" customHeight="1">
      <c r="A96" s="36"/>
      <c r="B96" s="37"/>
      <c r="C96" s="37"/>
      <c r="D96" s="48"/>
      <c r="E96" s="37"/>
      <c r="F96" s="37"/>
      <c r="G96" s="37"/>
      <c r="H96" s="37"/>
      <c r="I96" s="37"/>
      <c r="J96" s="37"/>
      <c r="K96" s="37"/>
      <c r="L96" s="39"/>
      <c r="M96" s="40"/>
      <c r="N96" s="40"/>
      <c r="O96" s="41"/>
      <c r="P96" s="41"/>
      <c r="Q96" s="41"/>
      <c r="R96" s="41"/>
      <c r="S96" s="41"/>
      <c r="T96" s="41"/>
      <c r="U96" s="41"/>
      <c r="V96" s="38"/>
    </row>
    <row r="97" spans="1:22" ht="15.75" customHeight="1">
      <c r="A97" s="36"/>
      <c r="B97" s="54" t="s">
        <v>68</v>
      </c>
      <c r="C97" s="55">
        <v>43051</v>
      </c>
      <c r="D97" s="56"/>
      <c r="E97" s="54" t="s">
        <v>64</v>
      </c>
      <c r="F97" s="150" t="s">
        <v>92</v>
      </c>
      <c r="G97" s="142"/>
      <c r="H97" s="142"/>
      <c r="I97" s="142"/>
      <c r="J97" s="142"/>
      <c r="K97" s="143"/>
      <c r="L97" s="39"/>
      <c r="M97" s="40"/>
      <c r="N97" s="40"/>
      <c r="O97" s="53"/>
      <c r="P97" s="53"/>
      <c r="Q97" s="53"/>
      <c r="R97" s="53"/>
      <c r="S97" s="53"/>
      <c r="T97" s="53"/>
      <c r="U97" s="41"/>
      <c r="V97" s="38"/>
    </row>
    <row r="98" spans="1:22" ht="15.75" customHeight="1">
      <c r="A98" s="36"/>
      <c r="B98" s="37"/>
      <c r="C98" s="37"/>
      <c r="D98" s="48"/>
      <c r="E98" s="37"/>
      <c r="F98" s="37"/>
      <c r="G98" s="37"/>
      <c r="H98" s="37"/>
      <c r="I98" s="37"/>
      <c r="J98" s="37"/>
      <c r="K98" s="37"/>
      <c r="L98" s="39"/>
      <c r="M98" s="40"/>
      <c r="N98" s="40"/>
      <c r="O98" s="41"/>
      <c r="P98" s="41"/>
      <c r="Q98" s="41"/>
      <c r="R98" s="41"/>
      <c r="S98" s="41"/>
      <c r="T98" s="41"/>
      <c r="U98" s="41"/>
      <c r="V98" s="38"/>
    </row>
    <row r="99" spans="1:22" ht="15.75" customHeight="1">
      <c r="A99" s="36"/>
      <c r="B99" s="78" t="s">
        <v>62</v>
      </c>
      <c r="C99" s="79">
        <v>43057</v>
      </c>
      <c r="D99" s="80" t="s">
        <v>66</v>
      </c>
      <c r="E99" s="78" t="s">
        <v>64</v>
      </c>
      <c r="F99" s="82" t="str">
        <f>'Under 18 League - Women'!A4</f>
        <v>18LW-02</v>
      </c>
      <c r="G99" s="82" t="str">
        <f>'Under 18 League - Women'!B4</f>
        <v>1st Round</v>
      </c>
      <c r="H99" s="82" t="str">
        <f>'Under 18 League - Women'!C4</f>
        <v>Swieqi Phoenix</v>
      </c>
      <c r="I99" s="82" t="str">
        <f>'Under 18 League - Women'!D4</f>
        <v>Balzan Flyers</v>
      </c>
      <c r="J99" s="82">
        <v>3</v>
      </c>
      <c r="K99" s="82">
        <v>2</v>
      </c>
      <c r="L99" s="39"/>
      <c r="M99" s="40"/>
      <c r="N99" s="40"/>
      <c r="O99" s="53"/>
      <c r="P99" s="53"/>
      <c r="Q99" s="53"/>
      <c r="R99" s="53"/>
      <c r="S99" s="53"/>
      <c r="T99" s="53"/>
      <c r="U99" s="41"/>
      <c r="V99" s="38"/>
    </row>
    <row r="100" spans="1:22" ht="7.5" customHeight="1">
      <c r="A100" s="36"/>
      <c r="B100" s="37"/>
      <c r="C100" s="58"/>
      <c r="D100" s="48"/>
      <c r="E100" s="37"/>
      <c r="F100" s="42"/>
      <c r="G100" s="42"/>
      <c r="H100" s="42"/>
      <c r="I100" s="42"/>
      <c r="J100" s="42"/>
      <c r="K100" s="42"/>
      <c r="L100" s="39"/>
      <c r="M100" s="40"/>
      <c r="N100" s="40"/>
      <c r="O100" s="53"/>
      <c r="P100" s="53"/>
      <c r="Q100" s="53"/>
      <c r="R100" s="53"/>
      <c r="S100" s="53"/>
      <c r="T100" s="53"/>
      <c r="U100" s="41"/>
      <c r="V100" s="38"/>
    </row>
    <row r="101" spans="1:22" ht="15.75" customHeight="1">
      <c r="A101" s="36"/>
      <c r="B101" s="72" t="s">
        <v>62</v>
      </c>
      <c r="C101" s="73">
        <v>43057</v>
      </c>
      <c r="D101" s="74" t="s">
        <v>67</v>
      </c>
      <c r="E101" s="72" t="s">
        <v>64</v>
      </c>
      <c r="F101" s="75" t="str">
        <f>'Super League - Women'!A8</f>
        <v>SLW-06</v>
      </c>
      <c r="G101" s="75" t="str">
        <f>'Super League - Women'!B8</f>
        <v>1st Round</v>
      </c>
      <c r="H101" s="75" t="str">
        <f>'Super League - Women'!C8</f>
        <v>Paola Volley</v>
      </c>
      <c r="I101" s="75" t="str">
        <f>'Super League - Women'!D8</f>
        <v>Balzan Flyers Crosscraft</v>
      </c>
      <c r="J101" s="75">
        <v>1</v>
      </c>
      <c r="K101" s="75">
        <v>3</v>
      </c>
      <c r="L101" s="39"/>
      <c r="M101" s="40"/>
      <c r="N101" s="40"/>
      <c r="O101" s="53"/>
      <c r="P101" s="53"/>
      <c r="Q101" s="53"/>
      <c r="R101" s="53"/>
      <c r="S101" s="53"/>
      <c r="T101" s="53"/>
      <c r="U101" s="41"/>
      <c r="V101" s="38"/>
    </row>
    <row r="102" spans="1:22" ht="7.5" customHeight="1">
      <c r="A102" s="36"/>
      <c r="B102" s="37"/>
      <c r="C102" s="58"/>
      <c r="D102" s="48"/>
      <c r="E102" s="37"/>
      <c r="F102" s="42"/>
      <c r="G102" s="42"/>
      <c r="H102" s="42"/>
      <c r="I102" s="42"/>
      <c r="J102" s="42"/>
      <c r="K102" s="42"/>
      <c r="L102" s="39"/>
      <c r="M102" s="40"/>
      <c r="N102" s="40"/>
      <c r="O102" s="53"/>
      <c r="P102" s="53"/>
      <c r="Q102" s="53"/>
      <c r="R102" s="53"/>
      <c r="S102" s="53"/>
      <c r="T102" s="53"/>
      <c r="U102" s="41"/>
      <c r="V102" s="38"/>
    </row>
    <row r="103" spans="1:22" ht="15.75" customHeight="1">
      <c r="A103" s="36"/>
      <c r="B103" s="72" t="s">
        <v>62</v>
      </c>
      <c r="C103" s="73">
        <v>43057</v>
      </c>
      <c r="D103" s="74" t="s">
        <v>73</v>
      </c>
      <c r="E103" s="72" t="s">
        <v>64</v>
      </c>
      <c r="F103" s="75" t="str">
        <f>'Super League - Women'!A9</f>
        <v>SLW-07</v>
      </c>
      <c r="G103" s="75" t="str">
        <f>'Super League - Women'!B9</f>
        <v>1st Round</v>
      </c>
      <c r="H103" s="75" t="str">
        <f>'Super League - Women'!C9</f>
        <v>Fleur de Lys Royal Panda</v>
      </c>
      <c r="I103" s="75" t="str">
        <f>'Super League - Women'!D9</f>
        <v>Sliema Wanderers</v>
      </c>
      <c r="J103" s="75">
        <v>3</v>
      </c>
      <c r="K103" s="75">
        <v>0</v>
      </c>
      <c r="L103" s="39"/>
      <c r="M103" s="40"/>
      <c r="N103" s="40"/>
      <c r="O103" s="53"/>
      <c r="P103" s="53"/>
      <c r="Q103" s="53"/>
      <c r="R103" s="53"/>
      <c r="S103" s="53"/>
      <c r="T103" s="53"/>
      <c r="U103" s="41"/>
      <c r="V103" s="38"/>
    </row>
    <row r="104" spans="1:22" ht="15.75" customHeight="1">
      <c r="A104" s="36"/>
      <c r="B104" s="37"/>
      <c r="C104" s="37"/>
      <c r="D104" s="48"/>
      <c r="E104" s="37"/>
      <c r="F104" s="37"/>
      <c r="G104" s="37"/>
      <c r="H104" s="37"/>
      <c r="I104" s="37"/>
      <c r="J104" s="37"/>
      <c r="K104" s="37"/>
      <c r="L104" s="39"/>
      <c r="M104" s="40"/>
      <c r="N104" s="40"/>
      <c r="O104" s="41"/>
      <c r="P104" s="41"/>
      <c r="Q104" s="41"/>
      <c r="R104" s="41"/>
      <c r="S104" s="41"/>
      <c r="T104" s="41"/>
      <c r="U104" s="41"/>
      <c r="V104" s="38"/>
    </row>
    <row r="105" spans="1:22" ht="15.75" customHeight="1">
      <c r="A105" s="36"/>
      <c r="B105" s="50" t="s">
        <v>68</v>
      </c>
      <c r="C105" s="51">
        <v>43058</v>
      </c>
      <c r="D105" s="52" t="s">
        <v>66</v>
      </c>
      <c r="E105" s="50" t="s">
        <v>64</v>
      </c>
      <c r="F105" s="71" t="str">
        <f>'Super League - Men'!A5</f>
        <v>SLM-03</v>
      </c>
      <c r="G105" s="71" t="str">
        <f>'Super League - Men'!B5</f>
        <v>1st Round</v>
      </c>
      <c r="H105" s="71" t="str">
        <f>'Super League - Men'!C5</f>
        <v>Aloysians Fire</v>
      </c>
      <c r="I105" s="71" t="str">
        <f>'Super League - Men'!D5</f>
        <v>Mgarr Volley</v>
      </c>
      <c r="J105" s="71">
        <v>3</v>
      </c>
      <c r="K105" s="71">
        <v>2</v>
      </c>
      <c r="L105" s="39"/>
      <c r="M105" s="40"/>
      <c r="N105" s="40"/>
      <c r="O105" s="53"/>
      <c r="P105" s="53"/>
      <c r="Q105" s="53"/>
      <c r="R105" s="53"/>
      <c r="S105" s="53"/>
      <c r="T105" s="53"/>
      <c r="U105" s="41"/>
      <c r="V105" s="38"/>
    </row>
    <row r="106" spans="1:22" ht="7.5" customHeight="1">
      <c r="A106" s="36"/>
      <c r="B106" s="37"/>
      <c r="C106" s="58"/>
      <c r="D106" s="48"/>
      <c r="E106" s="37"/>
      <c r="F106" s="42"/>
      <c r="G106" s="42"/>
      <c r="H106" s="42"/>
      <c r="I106" s="42"/>
      <c r="J106" s="42"/>
      <c r="K106" s="42"/>
      <c r="L106" s="39"/>
      <c r="M106" s="40"/>
      <c r="N106" s="40"/>
      <c r="O106" s="53"/>
      <c r="P106" s="53"/>
      <c r="Q106" s="53"/>
      <c r="R106" s="53"/>
      <c r="S106" s="53"/>
      <c r="T106" s="53"/>
      <c r="U106" s="41"/>
      <c r="V106" s="38"/>
    </row>
    <row r="107" spans="1:22" ht="15.75" customHeight="1">
      <c r="A107" s="36"/>
      <c r="B107" s="67" t="s">
        <v>68</v>
      </c>
      <c r="C107" s="68">
        <v>43058</v>
      </c>
      <c r="D107" s="69" t="s">
        <v>67</v>
      </c>
      <c r="E107" s="67" t="s">
        <v>64</v>
      </c>
      <c r="F107" s="70" t="str">
        <f>'1st Division League - Women'!A7</f>
        <v>1LW-05</v>
      </c>
      <c r="G107" s="70" t="str">
        <f>'1st Division League - Women'!B7</f>
        <v>1st Round</v>
      </c>
      <c r="H107" s="70" t="str">
        <f>'1st Division League - Women'!C7</f>
        <v>Mgarr Volley</v>
      </c>
      <c r="I107" s="70" t="str">
        <f>'1st Division League - Women'!D7</f>
        <v>Birkirkara</v>
      </c>
      <c r="J107" s="70">
        <v>2</v>
      </c>
      <c r="K107" s="70">
        <v>3</v>
      </c>
      <c r="L107" s="39"/>
      <c r="M107" s="40"/>
      <c r="N107" s="40"/>
      <c r="O107" s="53"/>
      <c r="P107" s="53"/>
      <c r="Q107" s="53"/>
      <c r="R107" s="53"/>
      <c r="S107" s="53"/>
      <c r="T107" s="53"/>
      <c r="U107" s="41"/>
      <c r="V107" s="38"/>
    </row>
    <row r="108" spans="1:22" ht="7.5" customHeight="1">
      <c r="A108" s="36"/>
      <c r="B108" s="37"/>
      <c r="C108" s="58"/>
      <c r="D108" s="48"/>
      <c r="E108" s="37"/>
      <c r="F108" s="42"/>
      <c r="G108" s="42"/>
      <c r="H108" s="42"/>
      <c r="I108" s="42"/>
      <c r="J108" s="42"/>
      <c r="K108" s="42"/>
      <c r="L108" s="39"/>
      <c r="M108" s="40"/>
      <c r="N108" s="40"/>
      <c r="O108" s="53"/>
      <c r="P108" s="53"/>
      <c r="Q108" s="53"/>
      <c r="R108" s="53"/>
      <c r="S108" s="53"/>
      <c r="T108" s="53"/>
      <c r="U108" s="41"/>
      <c r="V108" s="38"/>
    </row>
    <row r="109" spans="1:22" ht="15.75" customHeight="1">
      <c r="A109" s="36"/>
      <c r="B109" s="67" t="s">
        <v>68</v>
      </c>
      <c r="C109" s="68">
        <v>43058</v>
      </c>
      <c r="D109" s="69" t="s">
        <v>73</v>
      </c>
      <c r="E109" s="67" t="s">
        <v>64</v>
      </c>
      <c r="F109" s="70" t="str">
        <f>'1st Division League - Women'!A8</f>
        <v>1LW-06</v>
      </c>
      <c r="G109" s="70" t="str">
        <f>'1st Division League - Women'!B8</f>
        <v>1st Round</v>
      </c>
      <c r="H109" s="70" t="str">
        <f>'1st Division League - Women'!C8</f>
        <v>Mellieha</v>
      </c>
      <c r="I109" s="70" t="str">
        <f>'1st Division League - Women'!D8</f>
        <v>Fleur de Lys Swatch</v>
      </c>
      <c r="J109" s="70">
        <v>0</v>
      </c>
      <c r="K109" s="70">
        <v>3</v>
      </c>
      <c r="L109" s="39"/>
      <c r="M109" s="40"/>
      <c r="N109" s="40"/>
      <c r="O109" s="53"/>
      <c r="P109" s="53"/>
      <c r="Q109" s="53"/>
      <c r="R109" s="53"/>
      <c r="S109" s="53"/>
      <c r="T109" s="53"/>
      <c r="U109" s="41"/>
      <c r="V109" s="38"/>
    </row>
    <row r="110" spans="1:22" ht="15.75" customHeight="1">
      <c r="A110" s="36"/>
      <c r="B110" s="37"/>
      <c r="C110" s="37"/>
      <c r="D110" s="48"/>
      <c r="E110" s="37"/>
      <c r="F110" s="37"/>
      <c r="G110" s="37"/>
      <c r="H110" s="37"/>
      <c r="I110" s="37"/>
      <c r="J110" s="37"/>
      <c r="K110" s="37"/>
      <c r="L110" s="39"/>
      <c r="M110" s="40"/>
      <c r="N110" s="40"/>
      <c r="O110" s="41"/>
      <c r="P110" s="41"/>
      <c r="Q110" s="41"/>
      <c r="R110" s="41"/>
      <c r="S110" s="41"/>
      <c r="T110" s="41"/>
      <c r="U110" s="41"/>
      <c r="V110" s="38"/>
    </row>
    <row r="111" spans="1:22" ht="15.75" customHeight="1">
      <c r="A111" s="36"/>
      <c r="B111" s="50" t="s">
        <v>62</v>
      </c>
      <c r="C111" s="51">
        <v>43064</v>
      </c>
      <c r="D111" s="52" t="s">
        <v>66</v>
      </c>
      <c r="E111" s="50" t="s">
        <v>64</v>
      </c>
      <c r="F111" s="71" t="str">
        <f>'Super League - Men'!A6</f>
        <v>SLM-04</v>
      </c>
      <c r="G111" s="71" t="str">
        <f>'Super League - Men'!B6</f>
        <v>1st Round</v>
      </c>
      <c r="H111" s="71" t="str">
        <f>'Super League - Men'!C6</f>
        <v>Aloysians Ice</v>
      </c>
      <c r="I111" s="71" t="str">
        <f>'Super League - Men'!D6</f>
        <v>Valletta Mapei</v>
      </c>
      <c r="J111" s="71">
        <v>1</v>
      </c>
      <c r="K111" s="71">
        <v>3</v>
      </c>
      <c r="L111" s="39"/>
      <c r="M111" s="40"/>
      <c r="N111" s="40"/>
      <c r="O111" s="53"/>
      <c r="P111" s="53"/>
      <c r="Q111" s="53"/>
      <c r="R111" s="53"/>
      <c r="S111" s="53"/>
      <c r="T111" s="53"/>
      <c r="U111" s="41"/>
      <c r="V111" s="38"/>
    </row>
    <row r="112" spans="1:22" ht="7.5" customHeight="1">
      <c r="A112" s="36"/>
      <c r="B112" s="37"/>
      <c r="C112" s="58"/>
      <c r="D112" s="48"/>
      <c r="E112" s="37"/>
      <c r="F112" s="42"/>
      <c r="G112" s="42"/>
      <c r="H112" s="42"/>
      <c r="I112" s="42"/>
      <c r="J112" s="42"/>
      <c r="K112" s="42"/>
      <c r="L112" s="39"/>
      <c r="M112" s="40"/>
      <c r="N112" s="40"/>
      <c r="O112" s="53"/>
      <c r="P112" s="53"/>
      <c r="Q112" s="53"/>
      <c r="R112" s="53"/>
      <c r="S112" s="53"/>
      <c r="T112" s="53"/>
      <c r="U112" s="41"/>
      <c r="V112" s="38"/>
    </row>
    <row r="113" spans="1:22" ht="15.75" customHeight="1">
      <c r="A113" s="36"/>
      <c r="B113" s="67" t="s">
        <v>62</v>
      </c>
      <c r="C113" s="68">
        <v>43064</v>
      </c>
      <c r="D113" s="69" t="s">
        <v>67</v>
      </c>
      <c r="E113" s="67" t="s">
        <v>64</v>
      </c>
      <c r="F113" s="70" t="str">
        <f>'1st Division League - Women'!A9</f>
        <v>1LW-07</v>
      </c>
      <c r="G113" s="70" t="str">
        <f>'1st Division League - Women'!B9</f>
        <v>1st Round</v>
      </c>
      <c r="H113" s="70" t="str">
        <f>'1st Division League - Women'!C9</f>
        <v>Swieqi Phoenix</v>
      </c>
      <c r="I113" s="70" t="str">
        <f>'1st Division League - Women'!D9</f>
        <v>Mellieha</v>
      </c>
      <c r="J113" s="70">
        <v>3</v>
      </c>
      <c r="K113" s="70">
        <v>0</v>
      </c>
      <c r="L113" s="39"/>
      <c r="M113" s="40"/>
      <c r="N113" s="40"/>
      <c r="O113" s="53"/>
      <c r="P113" s="53"/>
      <c r="Q113" s="53"/>
      <c r="R113" s="53"/>
      <c r="S113" s="53"/>
      <c r="T113" s="53"/>
      <c r="U113" s="41"/>
      <c r="V113" s="38"/>
    </row>
    <row r="114" spans="1:22" ht="7.5" customHeight="1">
      <c r="A114" s="36"/>
      <c r="B114" s="37"/>
      <c r="C114" s="58"/>
      <c r="D114" s="48"/>
      <c r="E114" s="37"/>
      <c r="F114" s="42"/>
      <c r="G114" s="42"/>
      <c r="H114" s="42"/>
      <c r="I114" s="42"/>
      <c r="J114" s="42"/>
      <c r="K114" s="42"/>
      <c r="L114" s="39"/>
      <c r="M114" s="40"/>
      <c r="N114" s="40"/>
      <c r="O114" s="53"/>
      <c r="P114" s="53"/>
      <c r="Q114" s="53"/>
      <c r="R114" s="53"/>
      <c r="S114" s="53"/>
      <c r="T114" s="53"/>
      <c r="U114" s="41"/>
      <c r="V114" s="38"/>
    </row>
    <row r="115" spans="1:22" ht="15.75" customHeight="1">
      <c r="A115" s="36"/>
      <c r="B115" s="67" t="s">
        <v>62</v>
      </c>
      <c r="C115" s="68">
        <v>43064</v>
      </c>
      <c r="D115" s="69" t="s">
        <v>73</v>
      </c>
      <c r="E115" s="67" t="s">
        <v>64</v>
      </c>
      <c r="F115" s="70" t="str">
        <f>'1st Division League - Women'!A10</f>
        <v>1LW-08</v>
      </c>
      <c r="G115" s="70" t="str">
        <f>'1st Division League - Women'!B10</f>
        <v>1st Round</v>
      </c>
      <c r="H115" s="70" t="str">
        <f>'1st Division League - Women'!C10</f>
        <v>Mgarr Volley</v>
      </c>
      <c r="I115" s="70" t="str">
        <f>'1st Division League - Women'!D10</f>
        <v>Zabbar St. Patrick's</v>
      </c>
      <c r="J115" s="70">
        <v>3</v>
      </c>
      <c r="K115" s="70">
        <v>1</v>
      </c>
      <c r="L115" s="39"/>
      <c r="M115" s="40"/>
      <c r="N115" s="40"/>
      <c r="O115" s="53"/>
      <c r="P115" s="53"/>
      <c r="Q115" s="53"/>
      <c r="R115" s="53"/>
      <c r="S115" s="53"/>
      <c r="T115" s="53"/>
      <c r="U115" s="41"/>
      <c r="V115" s="38"/>
    </row>
    <row r="116" spans="1:22" ht="15.75" customHeight="1">
      <c r="A116" s="36"/>
      <c r="B116" s="37"/>
      <c r="C116" s="37"/>
      <c r="D116" s="48"/>
      <c r="E116" s="37"/>
      <c r="F116" s="37"/>
      <c r="G116" s="37"/>
      <c r="H116" s="37"/>
      <c r="I116" s="37"/>
      <c r="J116" s="37"/>
      <c r="K116" s="37"/>
      <c r="L116" s="39"/>
      <c r="M116" s="40"/>
      <c r="N116" s="40"/>
      <c r="O116" s="41"/>
      <c r="P116" s="41"/>
      <c r="Q116" s="41"/>
      <c r="R116" s="41"/>
      <c r="S116" s="41"/>
      <c r="T116" s="41"/>
      <c r="U116" s="41"/>
      <c r="V116" s="38"/>
    </row>
    <row r="117" spans="1:22" ht="15.75" customHeight="1">
      <c r="A117" s="36"/>
      <c r="B117" s="78" t="s">
        <v>68</v>
      </c>
      <c r="C117" s="79">
        <v>43065</v>
      </c>
      <c r="D117" s="80" t="s">
        <v>66</v>
      </c>
      <c r="E117" s="78" t="s">
        <v>64</v>
      </c>
      <c r="F117" s="82" t="str">
        <f>'Under 18 League - Women'!A5</f>
        <v>18LW-03</v>
      </c>
      <c r="G117" s="82" t="str">
        <f>'Under 18 League - Women'!B5</f>
        <v>1st Round</v>
      </c>
      <c r="H117" s="82" t="str">
        <f>'Under 18 League - Women'!C5</f>
        <v>Balzan Flyers</v>
      </c>
      <c r="I117" s="82" t="str">
        <f>'Under 18 League - Women'!D5</f>
        <v>Paola Volley</v>
      </c>
      <c r="J117" s="82">
        <v>3</v>
      </c>
      <c r="K117" s="82">
        <v>0</v>
      </c>
      <c r="L117" s="39"/>
      <c r="M117" s="40"/>
      <c r="N117" s="40"/>
      <c r="O117" s="53"/>
      <c r="P117" s="53"/>
      <c r="Q117" s="53"/>
      <c r="R117" s="53"/>
      <c r="S117" s="53"/>
      <c r="T117" s="53"/>
      <c r="U117" s="41"/>
      <c r="V117" s="38"/>
    </row>
    <row r="118" spans="1:22" ht="7.5" customHeight="1">
      <c r="A118" s="36"/>
      <c r="B118" s="37"/>
      <c r="C118" s="58"/>
      <c r="D118" s="48"/>
      <c r="E118" s="37"/>
      <c r="F118" s="42"/>
      <c r="G118" s="42"/>
      <c r="H118" s="42"/>
      <c r="I118" s="42"/>
      <c r="J118" s="42"/>
      <c r="K118" s="42"/>
      <c r="L118" s="39"/>
      <c r="M118" s="40"/>
      <c r="N118" s="40"/>
      <c r="O118" s="53"/>
      <c r="P118" s="53"/>
      <c r="Q118" s="53"/>
      <c r="R118" s="53"/>
      <c r="S118" s="53"/>
      <c r="T118" s="53"/>
      <c r="U118" s="41"/>
      <c r="V118" s="38"/>
    </row>
    <row r="119" spans="1:22" ht="15.75" customHeight="1">
      <c r="A119" s="36"/>
      <c r="B119" s="72" t="s">
        <v>68</v>
      </c>
      <c r="C119" s="73">
        <v>43065</v>
      </c>
      <c r="D119" s="74" t="s">
        <v>67</v>
      </c>
      <c r="E119" s="72" t="s">
        <v>64</v>
      </c>
      <c r="F119" s="75" t="str">
        <f>'Super League - Women'!A10</f>
        <v>SLW-08</v>
      </c>
      <c r="G119" s="75" t="str">
        <f>'Super League - Women'!B10</f>
        <v>1st Round</v>
      </c>
      <c r="H119" s="75" t="str">
        <f>'Super League - Women'!C10</f>
        <v>Balzan Flyers Crosscraft</v>
      </c>
      <c r="I119" s="75" t="str">
        <f>'Super League - Women'!D10</f>
        <v>Kavallieri</v>
      </c>
      <c r="J119" s="75">
        <f>'Super League - Women'!E10</f>
        <v>3</v>
      </c>
      <c r="K119" s="75">
        <f>'Super League - Women'!F10</f>
        <v>1</v>
      </c>
      <c r="L119" s="39"/>
      <c r="M119" s="40"/>
      <c r="N119" s="40"/>
      <c r="O119" s="53"/>
      <c r="P119" s="53"/>
      <c r="Q119" s="53"/>
      <c r="R119" s="53"/>
      <c r="S119" s="53"/>
      <c r="T119" s="53"/>
      <c r="U119" s="41"/>
      <c r="V119" s="38"/>
    </row>
    <row r="120" spans="1:22" ht="7.5" customHeight="1">
      <c r="A120" s="36"/>
      <c r="B120" s="37"/>
      <c r="C120" s="58"/>
      <c r="D120" s="48"/>
      <c r="E120" s="37"/>
      <c r="F120" s="42"/>
      <c r="G120" s="42"/>
      <c r="H120" s="42"/>
      <c r="I120" s="42"/>
      <c r="J120" s="42"/>
      <c r="K120" s="42"/>
      <c r="L120" s="39"/>
      <c r="M120" s="40"/>
      <c r="N120" s="40"/>
      <c r="O120" s="53"/>
      <c r="P120" s="53"/>
      <c r="Q120" s="53"/>
      <c r="R120" s="53"/>
      <c r="S120" s="53"/>
      <c r="T120" s="53"/>
      <c r="U120" s="41"/>
      <c r="V120" s="38"/>
    </row>
    <row r="121" spans="1:22" ht="15.75" customHeight="1">
      <c r="A121" s="36"/>
      <c r="B121" s="72" t="s">
        <v>68</v>
      </c>
      <c r="C121" s="73">
        <v>43065</v>
      </c>
      <c r="D121" s="74" t="s">
        <v>73</v>
      </c>
      <c r="E121" s="72" t="s">
        <v>64</v>
      </c>
      <c r="F121" s="75" t="str">
        <f>'Super League - Women'!A13</f>
        <v>SLW-11</v>
      </c>
      <c r="G121" s="75" t="str">
        <f>'Super League - Women'!B13</f>
        <v>2nd Round</v>
      </c>
      <c r="H121" s="75" t="str">
        <f>'Super League - Women'!C13</f>
        <v>Paola Volley</v>
      </c>
      <c r="I121" s="75" t="str">
        <f>'Super League - Women'!D13</f>
        <v>Fleur de Lys Royal Panda</v>
      </c>
      <c r="J121" s="75">
        <f>'Super League - Women'!E13</f>
        <v>3</v>
      </c>
      <c r="K121" s="75">
        <f>'Super League - Women'!F13</f>
        <v>0</v>
      </c>
      <c r="L121" s="39"/>
      <c r="M121" s="40"/>
      <c r="N121" s="40"/>
      <c r="O121" s="53"/>
      <c r="P121" s="53"/>
      <c r="Q121" s="53"/>
      <c r="R121" s="53"/>
      <c r="S121" s="53"/>
      <c r="T121" s="53"/>
      <c r="U121" s="41"/>
      <c r="V121" s="38"/>
    </row>
    <row r="122" spans="1:22" ht="15.75" customHeight="1">
      <c r="A122" s="36"/>
      <c r="B122" s="37"/>
      <c r="C122" s="37"/>
      <c r="D122" s="48"/>
      <c r="E122" s="37"/>
      <c r="F122" s="37"/>
      <c r="G122" s="37"/>
      <c r="H122" s="37"/>
      <c r="I122" s="37"/>
      <c r="J122" s="37"/>
      <c r="K122" s="37"/>
      <c r="L122" s="39"/>
      <c r="M122" s="40"/>
      <c r="N122" s="40"/>
      <c r="O122" s="41"/>
      <c r="P122" s="41"/>
      <c r="Q122" s="41"/>
      <c r="R122" s="41"/>
      <c r="S122" s="41"/>
      <c r="T122" s="41"/>
      <c r="U122" s="41"/>
      <c r="V122" s="38"/>
    </row>
    <row r="123" spans="1:22" ht="26.25" customHeight="1">
      <c r="A123" s="49"/>
      <c r="B123" s="138" t="s">
        <v>93</v>
      </c>
      <c r="C123" s="139"/>
      <c r="D123" s="139"/>
      <c r="E123" s="139"/>
      <c r="F123" s="139"/>
      <c r="G123" s="139"/>
      <c r="H123" s="139"/>
      <c r="I123" s="139"/>
      <c r="J123" s="139"/>
      <c r="K123" s="140"/>
      <c r="L123" s="39"/>
      <c r="M123" s="40"/>
      <c r="N123" s="40"/>
      <c r="O123" s="41"/>
      <c r="P123" s="41"/>
      <c r="Q123" s="41"/>
      <c r="R123" s="41"/>
      <c r="S123" s="41"/>
      <c r="T123" s="41"/>
      <c r="U123" s="41"/>
      <c r="V123" s="38"/>
    </row>
    <row r="124" spans="1:22" ht="15.75" customHeight="1">
      <c r="A124" s="36"/>
      <c r="B124" s="37"/>
      <c r="C124" s="37"/>
      <c r="D124" s="48"/>
      <c r="E124" s="37"/>
      <c r="F124" s="37"/>
      <c r="G124" s="37"/>
      <c r="H124" s="37"/>
      <c r="I124" s="48"/>
      <c r="J124" s="37"/>
      <c r="K124" s="37"/>
      <c r="L124" s="39"/>
      <c r="M124" s="40"/>
      <c r="N124" s="40"/>
      <c r="O124" s="41"/>
      <c r="P124" s="41"/>
      <c r="Q124" s="41"/>
      <c r="R124" s="41"/>
      <c r="S124" s="41"/>
      <c r="T124" s="41"/>
      <c r="U124" s="41"/>
      <c r="V124" s="38"/>
    </row>
    <row r="125" spans="1:22" ht="15.75" customHeight="1">
      <c r="A125" s="36"/>
      <c r="B125" s="78" t="s">
        <v>62</v>
      </c>
      <c r="C125" s="79">
        <v>43071</v>
      </c>
      <c r="D125" s="80" t="s">
        <v>66</v>
      </c>
      <c r="E125" s="78" t="s">
        <v>64</v>
      </c>
      <c r="F125" s="82" t="str">
        <f>'Under 18 League - Women'!A6</f>
        <v>18LW-04</v>
      </c>
      <c r="G125" s="82" t="str">
        <f>'Under 18 League - Women'!B6</f>
        <v>2nd Round</v>
      </c>
      <c r="H125" s="82" t="str">
        <f>'Under 18 League - Women'!C6</f>
        <v>Swieqi Phoenix</v>
      </c>
      <c r="I125" s="82" t="str">
        <f>'Under 18 League - Women'!D6</f>
        <v>Paola Volley</v>
      </c>
      <c r="J125" s="82">
        <v>3</v>
      </c>
      <c r="K125" s="82">
        <v>0</v>
      </c>
      <c r="L125" s="39"/>
      <c r="M125" s="40"/>
      <c r="N125" s="40"/>
      <c r="O125" s="53"/>
      <c r="P125" s="53"/>
      <c r="Q125" s="53"/>
      <c r="R125" s="53"/>
      <c r="S125" s="53"/>
      <c r="T125" s="53"/>
      <c r="U125" s="41"/>
      <c r="V125" s="38"/>
    </row>
    <row r="126" spans="1:22" ht="7.5" customHeight="1">
      <c r="A126" s="36"/>
      <c r="B126" s="37"/>
      <c r="C126" s="58"/>
      <c r="D126" s="48"/>
      <c r="E126" s="37"/>
      <c r="F126" s="42"/>
      <c r="G126" s="42"/>
      <c r="H126" s="42"/>
      <c r="I126" s="42"/>
      <c r="J126" s="42"/>
      <c r="K126" s="42"/>
      <c r="L126" s="39"/>
      <c r="M126" s="40"/>
      <c r="N126" s="40"/>
      <c r="O126" s="53"/>
      <c r="P126" s="53"/>
      <c r="Q126" s="53"/>
      <c r="R126" s="53"/>
      <c r="S126" s="53"/>
      <c r="T126" s="53"/>
      <c r="U126" s="41"/>
      <c r="V126" s="38"/>
    </row>
    <row r="127" spans="1:22" ht="15.75" customHeight="1">
      <c r="A127" s="36"/>
      <c r="B127" s="54" t="s">
        <v>62</v>
      </c>
      <c r="C127" s="55">
        <v>43071</v>
      </c>
      <c r="D127" s="56" t="s">
        <v>67</v>
      </c>
      <c r="E127" s="54" t="s">
        <v>64</v>
      </c>
      <c r="F127" s="57" t="str">
        <f>'Christmas Cup - Women'!A3</f>
        <v>CCW-01</v>
      </c>
      <c r="G127" s="57" t="str">
        <f>'Christmas Cup - Women'!B3</f>
        <v>1st Round</v>
      </c>
      <c r="H127" s="57" t="str">
        <f>'Christmas Cup - Women'!C3</f>
        <v>Fleur de Lys Swatch</v>
      </c>
      <c r="I127" s="57" t="str">
        <f>'Christmas Cup - Women'!D3</f>
        <v>Paola Volley</v>
      </c>
      <c r="J127" s="57">
        <v>0</v>
      </c>
      <c r="K127" s="57">
        <v>3</v>
      </c>
      <c r="L127" s="39"/>
      <c r="M127" s="40"/>
      <c r="N127" s="40"/>
      <c r="O127" s="53"/>
      <c r="P127" s="53"/>
      <c r="Q127" s="53"/>
      <c r="R127" s="53"/>
      <c r="S127" s="53"/>
      <c r="T127" s="53"/>
      <c r="U127" s="41"/>
      <c r="V127" s="38"/>
    </row>
    <row r="128" spans="1:22" ht="7.5" customHeight="1">
      <c r="A128" s="36"/>
      <c r="B128" s="37"/>
      <c r="C128" s="58"/>
      <c r="D128" s="48"/>
      <c r="E128" s="37"/>
      <c r="F128" s="42"/>
      <c r="G128" s="42"/>
      <c r="H128" s="42"/>
      <c r="I128" s="42"/>
      <c r="J128" s="42"/>
      <c r="K128" s="42"/>
      <c r="L128" s="39"/>
      <c r="M128" s="40"/>
      <c r="N128" s="40"/>
      <c r="O128" s="53"/>
      <c r="P128" s="53"/>
      <c r="Q128" s="53"/>
      <c r="R128" s="53"/>
      <c r="S128" s="53"/>
      <c r="T128" s="53"/>
      <c r="U128" s="41"/>
      <c r="V128" s="38"/>
    </row>
    <row r="129" spans="1:22" ht="15.75" customHeight="1">
      <c r="A129" s="36"/>
      <c r="B129" s="54" t="s">
        <v>62</v>
      </c>
      <c r="C129" s="55">
        <v>43071</v>
      </c>
      <c r="D129" s="56" t="s">
        <v>73</v>
      </c>
      <c r="E129" s="54" t="s">
        <v>64</v>
      </c>
      <c r="F129" s="57" t="str">
        <f>'Christmas Cup - Women'!A4</f>
        <v>CCW-02</v>
      </c>
      <c r="G129" s="57" t="str">
        <f>'Christmas Cup - Women'!B4</f>
        <v>1st Round</v>
      </c>
      <c r="H129" s="57" t="str">
        <f>'Christmas Cup - Women'!C4</f>
        <v>Birkirkara</v>
      </c>
      <c r="I129" s="57" t="str">
        <f>'Christmas Cup - Women'!D4</f>
        <v>Swieqi Phoenix</v>
      </c>
      <c r="J129" s="57">
        <v>0</v>
      </c>
      <c r="K129" s="57">
        <v>3</v>
      </c>
      <c r="L129" s="39"/>
      <c r="M129" s="40"/>
      <c r="N129" s="40"/>
      <c r="O129" s="53"/>
      <c r="P129" s="53"/>
      <c r="Q129" s="53"/>
      <c r="R129" s="53"/>
      <c r="S129" s="53"/>
      <c r="T129" s="53"/>
      <c r="U129" s="41"/>
      <c r="V129" s="38"/>
    </row>
    <row r="130" spans="1:22" ht="15.75" customHeight="1">
      <c r="A130" s="36"/>
      <c r="B130" s="37"/>
      <c r="C130" s="37"/>
      <c r="D130" s="48"/>
      <c r="E130" s="37"/>
      <c r="F130" s="37"/>
      <c r="G130" s="37"/>
      <c r="H130" s="37"/>
      <c r="I130" s="37"/>
      <c r="J130" s="37"/>
      <c r="K130" s="37"/>
      <c r="L130" s="39"/>
      <c r="M130" s="40"/>
      <c r="N130" s="40"/>
      <c r="O130" s="41"/>
      <c r="P130" s="41"/>
      <c r="Q130" s="41"/>
      <c r="R130" s="41"/>
      <c r="S130" s="41"/>
      <c r="T130" s="41"/>
      <c r="U130" s="41"/>
      <c r="V130" s="38"/>
    </row>
    <row r="131" spans="1:22" ht="15.75" customHeight="1">
      <c r="A131" s="36"/>
      <c r="B131" s="50" t="s">
        <v>68</v>
      </c>
      <c r="C131" s="51">
        <v>43072</v>
      </c>
      <c r="D131" s="52" t="s">
        <v>66</v>
      </c>
      <c r="E131" s="50" t="s">
        <v>64</v>
      </c>
      <c r="F131" s="71" t="str">
        <f>'Super League - Men'!A7</f>
        <v>SLM-05</v>
      </c>
      <c r="G131" s="71" t="str">
        <f>'Super League - Men'!B7</f>
        <v>1st Round</v>
      </c>
      <c r="H131" s="71" t="str">
        <f>'Super League - Men'!C7</f>
        <v>Mgarr Volley</v>
      </c>
      <c r="I131" s="71" t="str">
        <f>'Super League - Men'!D7</f>
        <v>Valletta Mapei</v>
      </c>
      <c r="J131" s="71">
        <v>1</v>
      </c>
      <c r="K131" s="71">
        <v>3</v>
      </c>
      <c r="L131" s="39"/>
      <c r="M131" s="40"/>
      <c r="N131" s="40"/>
      <c r="O131" s="53"/>
      <c r="P131" s="53"/>
      <c r="Q131" s="53"/>
      <c r="R131" s="53"/>
      <c r="S131" s="53"/>
      <c r="T131" s="53"/>
      <c r="U131" s="41"/>
      <c r="V131" s="38"/>
    </row>
    <row r="132" spans="1:22" ht="7.5" customHeight="1">
      <c r="A132" s="36"/>
      <c r="B132" s="37"/>
      <c r="C132" s="58"/>
      <c r="D132" s="48"/>
      <c r="E132" s="37"/>
      <c r="F132" s="42"/>
      <c r="G132" s="42"/>
      <c r="H132" s="42"/>
      <c r="I132" s="42"/>
      <c r="J132" s="42"/>
      <c r="K132" s="42"/>
      <c r="L132" s="39"/>
      <c r="M132" s="40"/>
      <c r="N132" s="40"/>
      <c r="O132" s="53"/>
      <c r="P132" s="53"/>
      <c r="Q132" s="53"/>
      <c r="R132" s="53"/>
      <c r="S132" s="53"/>
      <c r="T132" s="53"/>
      <c r="U132" s="41"/>
      <c r="V132" s="38"/>
    </row>
    <row r="133" spans="1:22" ht="15.75" customHeight="1">
      <c r="A133" s="36"/>
      <c r="B133" s="54" t="s">
        <v>68</v>
      </c>
      <c r="C133" s="55">
        <v>43072</v>
      </c>
      <c r="D133" s="56" t="s">
        <v>67</v>
      </c>
      <c r="E133" s="54" t="s">
        <v>64</v>
      </c>
      <c r="F133" s="57" t="str">
        <f>'Christmas Cup - Women'!A5</f>
        <v>CCW-03</v>
      </c>
      <c r="G133" s="57" t="str">
        <f>'Christmas Cup - Women'!B5</f>
        <v>1st Round</v>
      </c>
      <c r="H133" s="57" t="str">
        <f>'Christmas Cup - Women'!C5</f>
        <v>Fleur de Lys Royal Panda</v>
      </c>
      <c r="I133" s="57" t="str">
        <f>'Christmas Cup - Women'!D5</f>
        <v>Fleur de Lys Swatch</v>
      </c>
      <c r="J133" s="57">
        <v>3</v>
      </c>
      <c r="K133" s="57">
        <v>1</v>
      </c>
      <c r="L133" s="39"/>
      <c r="M133" s="40"/>
      <c r="N133" s="40"/>
      <c r="O133" s="53"/>
      <c r="P133" s="53"/>
      <c r="Q133" s="53"/>
      <c r="R133" s="53"/>
      <c r="S133" s="53"/>
      <c r="T133" s="53"/>
      <c r="U133" s="41"/>
      <c r="V133" s="38"/>
    </row>
    <row r="134" spans="1:22" ht="7.5" customHeight="1">
      <c r="A134" s="36"/>
      <c r="B134" s="37"/>
      <c r="C134" s="58"/>
      <c r="D134" s="48"/>
      <c r="E134" s="37"/>
      <c r="F134" s="42"/>
      <c r="G134" s="42"/>
      <c r="H134" s="42"/>
      <c r="I134" s="42"/>
      <c r="J134" s="42"/>
      <c r="K134" s="42"/>
      <c r="L134" s="39"/>
      <c r="M134" s="40"/>
      <c r="N134" s="40"/>
      <c r="O134" s="53"/>
      <c r="P134" s="53"/>
      <c r="Q134" s="53"/>
      <c r="R134" s="53"/>
      <c r="S134" s="53"/>
      <c r="T134" s="53"/>
      <c r="U134" s="41"/>
      <c r="V134" s="38"/>
    </row>
    <row r="135" spans="1:22" ht="15.75" customHeight="1">
      <c r="A135" s="36"/>
      <c r="B135" s="54" t="s">
        <v>62</v>
      </c>
      <c r="C135" s="55">
        <v>43072</v>
      </c>
      <c r="D135" s="56" t="s">
        <v>73</v>
      </c>
      <c r="E135" s="54" t="s">
        <v>64</v>
      </c>
      <c r="F135" s="57" t="str">
        <f>'Christmas Cup - Women'!A6</f>
        <v>CCW-04</v>
      </c>
      <c r="G135" s="57" t="str">
        <f>'Christmas Cup - Women'!B6</f>
        <v>1st Round</v>
      </c>
      <c r="H135" s="57" t="str">
        <f>'Christmas Cup - Women'!C6</f>
        <v>Paola Volley</v>
      </c>
      <c r="I135" s="57" t="str">
        <f>'Christmas Cup - Women'!D6</f>
        <v>Birkirkara</v>
      </c>
      <c r="J135" s="57">
        <v>3</v>
      </c>
      <c r="K135" s="57">
        <v>0</v>
      </c>
      <c r="L135" s="39"/>
      <c r="M135" s="40"/>
      <c r="N135" s="40"/>
      <c r="O135" s="53"/>
      <c r="P135" s="53"/>
      <c r="Q135" s="53"/>
      <c r="R135" s="53"/>
      <c r="S135" s="53"/>
      <c r="T135" s="53"/>
      <c r="U135" s="41"/>
      <c r="V135" s="38"/>
    </row>
    <row r="136" spans="1:22" ht="15.75" customHeight="1">
      <c r="A136" s="36"/>
      <c r="B136" s="37"/>
      <c r="C136" s="37"/>
      <c r="D136" s="48"/>
      <c r="E136" s="37"/>
      <c r="F136" s="37"/>
      <c r="G136" s="37"/>
      <c r="H136" s="37"/>
      <c r="I136" s="37"/>
      <c r="J136" s="37"/>
      <c r="K136" s="37"/>
      <c r="L136" s="39"/>
      <c r="M136" s="40"/>
      <c r="N136" s="40"/>
      <c r="O136" s="41"/>
      <c r="P136" s="41"/>
      <c r="Q136" s="41"/>
      <c r="R136" s="41"/>
      <c r="S136" s="41"/>
      <c r="T136" s="41"/>
      <c r="U136" s="41"/>
      <c r="V136" s="38"/>
    </row>
    <row r="137" spans="1:22" ht="15.75" customHeight="1">
      <c r="A137" s="36"/>
      <c r="B137" s="50" t="s">
        <v>62</v>
      </c>
      <c r="C137" s="51">
        <v>43078</v>
      </c>
      <c r="D137" s="52" t="s">
        <v>66</v>
      </c>
      <c r="E137" s="50" t="s">
        <v>64</v>
      </c>
      <c r="F137" s="71" t="str">
        <f>'Super League - Men'!A8</f>
        <v>SLM-06</v>
      </c>
      <c r="G137" s="71" t="str">
        <f>'Super League - Men'!B8</f>
        <v>1st Round</v>
      </c>
      <c r="H137" s="71" t="str">
        <f>'Super League - Men'!C8</f>
        <v>Aloysians Fire</v>
      </c>
      <c r="I137" s="71" t="str">
        <f>'Super League - Men'!D8</f>
        <v>Aloysians Ice</v>
      </c>
      <c r="J137" s="71">
        <v>1</v>
      </c>
      <c r="K137" s="71">
        <v>3</v>
      </c>
      <c r="L137" s="39"/>
      <c r="M137" s="40"/>
      <c r="N137" s="40"/>
      <c r="O137" s="53"/>
      <c r="P137" s="53"/>
      <c r="Q137" s="53"/>
      <c r="R137" s="53"/>
      <c r="S137" s="53"/>
      <c r="T137" s="53"/>
      <c r="U137" s="41"/>
      <c r="V137" s="38"/>
    </row>
    <row r="138" spans="1:22" ht="7.5" customHeight="1">
      <c r="A138" s="36"/>
      <c r="B138" s="37"/>
      <c r="C138" s="58"/>
      <c r="D138" s="48"/>
      <c r="E138" s="37"/>
      <c r="F138" s="42"/>
      <c r="G138" s="42"/>
      <c r="H138" s="42"/>
      <c r="I138" s="42"/>
      <c r="J138" s="42"/>
      <c r="K138" s="42"/>
      <c r="L138" s="39"/>
      <c r="M138" s="40"/>
      <c r="N138" s="40"/>
      <c r="O138" s="53"/>
      <c r="P138" s="53"/>
      <c r="Q138" s="53"/>
      <c r="R138" s="53"/>
      <c r="S138" s="53"/>
      <c r="T138" s="53"/>
      <c r="U138" s="41"/>
      <c r="V138" s="38"/>
    </row>
    <row r="139" spans="1:22" ht="15.75" customHeight="1">
      <c r="A139" s="36"/>
      <c r="B139" s="54" t="s">
        <v>62</v>
      </c>
      <c r="C139" s="55">
        <v>43078</v>
      </c>
      <c r="D139" s="56" t="s">
        <v>67</v>
      </c>
      <c r="E139" s="54" t="s">
        <v>64</v>
      </c>
      <c r="F139" s="57" t="str">
        <f>'Christmas Cup - Women'!A7</f>
        <v>CCW-05</v>
      </c>
      <c r="G139" s="57" t="str">
        <f>'Christmas Cup - Women'!B7</f>
        <v>1st Round</v>
      </c>
      <c r="H139" s="57" t="str">
        <f>'Christmas Cup - Women'!C7</f>
        <v>Swieqi Phoenix</v>
      </c>
      <c r="I139" s="57" t="str">
        <f>'Christmas Cup - Women'!D7</f>
        <v>Fleur de Lys Swatch</v>
      </c>
      <c r="J139" s="57">
        <v>3</v>
      </c>
      <c r="K139" s="57">
        <v>0</v>
      </c>
      <c r="L139" s="39"/>
      <c r="M139" s="40"/>
      <c r="N139" s="40"/>
      <c r="O139" s="53"/>
      <c r="P139" s="53"/>
      <c r="Q139" s="53"/>
      <c r="R139" s="53"/>
      <c r="S139" s="53"/>
      <c r="T139" s="53"/>
      <c r="U139" s="41"/>
      <c r="V139" s="38"/>
    </row>
    <row r="140" spans="1:22" ht="7.5" customHeight="1">
      <c r="A140" s="36"/>
      <c r="B140" s="37"/>
      <c r="C140" s="58"/>
      <c r="D140" s="48"/>
      <c r="E140" s="37"/>
      <c r="F140" s="42"/>
      <c r="G140" s="42"/>
      <c r="H140" s="42"/>
      <c r="I140" s="42"/>
      <c r="J140" s="42"/>
      <c r="K140" s="42"/>
      <c r="L140" s="39"/>
      <c r="M140" s="40"/>
      <c r="N140" s="40"/>
      <c r="O140" s="53"/>
      <c r="P140" s="53"/>
      <c r="Q140" s="53"/>
      <c r="R140" s="53"/>
      <c r="S140" s="53"/>
      <c r="T140" s="53"/>
      <c r="U140" s="41"/>
      <c r="V140" s="38"/>
    </row>
    <row r="141" spans="1:22" ht="15.75" customHeight="1">
      <c r="A141" s="36"/>
      <c r="B141" s="54" t="s">
        <v>62</v>
      </c>
      <c r="C141" s="55">
        <v>43078</v>
      </c>
      <c r="D141" s="56" t="s">
        <v>73</v>
      </c>
      <c r="E141" s="54" t="s">
        <v>64</v>
      </c>
      <c r="F141" s="57" t="str">
        <f>'Christmas Cup - Women'!A8</f>
        <v>CCW-06</v>
      </c>
      <c r="G141" s="57" t="str">
        <f>'Christmas Cup - Women'!B8</f>
        <v>1st Round</v>
      </c>
      <c r="H141" s="57" t="str">
        <f>'Christmas Cup - Women'!C8</f>
        <v>Paola Volley</v>
      </c>
      <c r="I141" s="57" t="str">
        <f>'Christmas Cup - Women'!D8</f>
        <v>Fleur de Lys Royal Panda</v>
      </c>
      <c r="J141" s="57">
        <v>0</v>
      </c>
      <c r="K141" s="57">
        <v>3</v>
      </c>
      <c r="L141" s="39"/>
      <c r="M141" s="40"/>
      <c r="N141" s="40"/>
      <c r="O141" s="53"/>
      <c r="P141" s="53"/>
      <c r="Q141" s="53"/>
      <c r="R141" s="53"/>
      <c r="S141" s="53"/>
      <c r="T141" s="53"/>
      <c r="U141" s="41"/>
      <c r="V141" s="38"/>
    </row>
    <row r="142" spans="1:22" ht="15.75" customHeight="1">
      <c r="A142" s="36"/>
      <c r="B142" s="37"/>
      <c r="C142" s="37"/>
      <c r="D142" s="48"/>
      <c r="E142" s="37"/>
      <c r="F142" s="37"/>
      <c r="G142" s="37"/>
      <c r="H142" s="37"/>
      <c r="I142" s="37"/>
      <c r="J142" s="37"/>
      <c r="K142" s="37"/>
      <c r="L142" s="39"/>
      <c r="M142" s="40"/>
      <c r="N142" s="40"/>
      <c r="O142" s="41"/>
      <c r="P142" s="41"/>
      <c r="Q142" s="41"/>
      <c r="R142" s="41"/>
      <c r="S142" s="41"/>
      <c r="T142" s="41"/>
      <c r="U142" s="41"/>
      <c r="V142" s="38"/>
    </row>
    <row r="143" spans="1:22" ht="15.75" customHeight="1">
      <c r="A143" s="36"/>
      <c r="B143" s="78" t="s">
        <v>68</v>
      </c>
      <c r="C143" s="79">
        <v>43079</v>
      </c>
      <c r="D143" s="80" t="s">
        <v>66</v>
      </c>
      <c r="E143" s="78" t="s">
        <v>64</v>
      </c>
      <c r="F143" s="82" t="str">
        <f>'Under 18 League - Women'!A7</f>
        <v>18LW-05</v>
      </c>
      <c r="G143" s="82" t="str">
        <f>'Under 18 League - Women'!B7</f>
        <v>2nd Round</v>
      </c>
      <c r="H143" s="82" t="str">
        <f>'Under 18 League - Women'!C7</f>
        <v>Balzan Flyers</v>
      </c>
      <c r="I143" s="82" t="str">
        <f>'Under 18 League - Women'!D7</f>
        <v>Swieqi Phoenix</v>
      </c>
      <c r="J143" s="82">
        <v>0</v>
      </c>
      <c r="K143" s="82">
        <v>3</v>
      </c>
      <c r="L143" s="39"/>
      <c r="M143" s="40"/>
      <c r="N143" s="40"/>
      <c r="O143" s="53"/>
      <c r="P143" s="53"/>
      <c r="Q143" s="53"/>
      <c r="R143" s="53"/>
      <c r="S143" s="53"/>
      <c r="T143" s="53"/>
      <c r="U143" s="41"/>
      <c r="V143" s="38"/>
    </row>
    <row r="144" spans="1:22" ht="7.5" customHeight="1">
      <c r="A144" s="36"/>
      <c r="B144" s="37"/>
      <c r="C144" s="58"/>
      <c r="D144" s="48"/>
      <c r="E144" s="37"/>
      <c r="F144" s="42"/>
      <c r="G144" s="42"/>
      <c r="H144" s="42"/>
      <c r="I144" s="42"/>
      <c r="J144" s="42"/>
      <c r="K144" s="42"/>
      <c r="L144" s="39"/>
      <c r="M144" s="40"/>
      <c r="N144" s="40"/>
      <c r="O144" s="53"/>
      <c r="P144" s="53"/>
      <c r="Q144" s="53"/>
      <c r="R144" s="53"/>
      <c r="S144" s="53"/>
      <c r="T144" s="53"/>
      <c r="U144" s="41"/>
      <c r="V144" s="38"/>
    </row>
    <row r="145" spans="1:22" ht="15.75" customHeight="1">
      <c r="A145" s="36"/>
      <c r="B145" s="54" t="s">
        <v>68</v>
      </c>
      <c r="C145" s="55">
        <v>43079</v>
      </c>
      <c r="D145" s="56" t="s">
        <v>67</v>
      </c>
      <c r="E145" s="54" t="s">
        <v>64</v>
      </c>
      <c r="F145" s="57" t="str">
        <f>'Christmas Cup - Women'!A9</f>
        <v>CCW-07</v>
      </c>
      <c r="G145" s="57" t="str">
        <f>'Christmas Cup - Women'!B9</f>
        <v>1st Round</v>
      </c>
      <c r="H145" s="57" t="str">
        <f>'Christmas Cup - Women'!C9</f>
        <v>Fleur de Lys Swatch</v>
      </c>
      <c r="I145" s="57" t="str">
        <f>'Christmas Cup - Women'!D9</f>
        <v>Birkirkara</v>
      </c>
      <c r="J145" s="57">
        <v>3</v>
      </c>
      <c r="K145" s="57">
        <v>1</v>
      </c>
      <c r="L145" s="39"/>
      <c r="M145" s="40"/>
      <c r="N145" s="40"/>
      <c r="O145" s="53"/>
      <c r="P145" s="53"/>
      <c r="Q145" s="53"/>
      <c r="R145" s="53"/>
      <c r="S145" s="53"/>
      <c r="T145" s="53"/>
      <c r="U145" s="41"/>
      <c r="V145" s="38"/>
    </row>
    <row r="146" spans="1:22" ht="7.5" customHeight="1">
      <c r="A146" s="36"/>
      <c r="B146" s="37"/>
      <c r="C146" s="58"/>
      <c r="D146" s="48"/>
      <c r="E146" s="37"/>
      <c r="F146" s="42"/>
      <c r="G146" s="42"/>
      <c r="H146" s="42"/>
      <c r="I146" s="42"/>
      <c r="J146" s="42"/>
      <c r="K146" s="42"/>
      <c r="L146" s="39"/>
      <c r="M146" s="40"/>
      <c r="N146" s="40"/>
      <c r="O146" s="53"/>
      <c r="P146" s="53"/>
      <c r="Q146" s="53"/>
      <c r="R146" s="53"/>
      <c r="S146" s="53"/>
      <c r="T146" s="53"/>
      <c r="U146" s="41"/>
      <c r="V146" s="38"/>
    </row>
    <row r="147" spans="1:22" ht="15.75">
      <c r="A147" s="36"/>
      <c r="B147" s="54" t="s">
        <v>68</v>
      </c>
      <c r="C147" s="55">
        <v>43079</v>
      </c>
      <c r="D147" s="56" t="s">
        <v>73</v>
      </c>
      <c r="E147" s="54" t="s">
        <v>64</v>
      </c>
      <c r="F147" s="57" t="str">
        <f>'Christmas Cup - Women'!A10</f>
        <v>CCW-08</v>
      </c>
      <c r="G147" s="57" t="str">
        <f>'Christmas Cup - Women'!B10</f>
        <v>1st Round</v>
      </c>
      <c r="H147" s="57" t="str">
        <f>'Christmas Cup - Women'!C10</f>
        <v>Fleur de Lys Royal Panda</v>
      </c>
      <c r="I147" s="57" t="str">
        <f>'Christmas Cup - Women'!D10</f>
        <v>Swieqi Phoenix</v>
      </c>
      <c r="J147" s="57">
        <v>3</v>
      </c>
      <c r="K147" s="57">
        <v>0</v>
      </c>
      <c r="L147" s="39"/>
      <c r="M147" s="40"/>
      <c r="N147" s="40"/>
      <c r="O147" s="53"/>
      <c r="P147" s="53"/>
      <c r="Q147" s="53"/>
      <c r="R147" s="53"/>
      <c r="S147" s="53"/>
      <c r="T147" s="53"/>
      <c r="U147" s="41"/>
      <c r="V147" s="38"/>
    </row>
    <row r="148" spans="1:22" ht="15.75" customHeight="1">
      <c r="A148" s="36"/>
      <c r="B148" s="37"/>
      <c r="C148" s="37"/>
      <c r="D148" s="48"/>
      <c r="E148" s="37"/>
      <c r="F148" s="37"/>
      <c r="G148" s="37"/>
      <c r="H148" s="37"/>
      <c r="I148" s="37"/>
      <c r="J148" s="37"/>
      <c r="K148" s="37"/>
      <c r="L148" s="39"/>
      <c r="M148" s="40"/>
      <c r="N148" s="40"/>
      <c r="O148" s="41"/>
      <c r="P148" s="41"/>
      <c r="Q148" s="41"/>
      <c r="R148" s="41"/>
      <c r="S148" s="41"/>
      <c r="T148" s="41"/>
      <c r="U148" s="41"/>
      <c r="V148" s="38"/>
    </row>
    <row r="149" spans="1:22" ht="15.75" customHeight="1">
      <c r="A149" s="36"/>
      <c r="B149" s="78" t="s">
        <v>62</v>
      </c>
      <c r="C149" s="79">
        <v>43085</v>
      </c>
      <c r="D149" s="80" t="s">
        <v>66</v>
      </c>
      <c r="E149" s="78" t="s">
        <v>64</v>
      </c>
      <c r="F149" s="82" t="str">
        <f>'Under 18 League - Women'!A8</f>
        <v>18LW-06</v>
      </c>
      <c r="G149" s="82" t="str">
        <f>'Under 18 League - Women'!B8</f>
        <v>2nd Round</v>
      </c>
      <c r="H149" s="82" t="str">
        <f>'Under 18 League - Women'!C8</f>
        <v>Paola Volley</v>
      </c>
      <c r="I149" s="82" t="str">
        <f>'Under 18 League - Women'!D8</f>
        <v>Balzan Flyers</v>
      </c>
      <c r="J149" s="82">
        <v>0</v>
      </c>
      <c r="K149" s="82">
        <v>3</v>
      </c>
      <c r="L149" s="39"/>
      <c r="M149" s="40"/>
      <c r="N149" s="40"/>
      <c r="O149" s="53"/>
      <c r="P149" s="53"/>
      <c r="Q149" s="53"/>
      <c r="R149" s="53"/>
      <c r="S149" s="53"/>
      <c r="T149" s="53"/>
      <c r="U149" s="41"/>
      <c r="V149" s="38"/>
    </row>
    <row r="150" spans="1:22" ht="7.5" customHeight="1">
      <c r="A150" s="36"/>
      <c r="B150" s="37"/>
      <c r="C150" s="58"/>
      <c r="D150" s="48"/>
      <c r="E150" s="37"/>
      <c r="F150" s="42"/>
      <c r="G150" s="42"/>
      <c r="H150" s="42"/>
      <c r="I150" s="42"/>
      <c r="J150" s="42"/>
      <c r="K150" s="42"/>
      <c r="L150" s="39"/>
      <c r="M150" s="40"/>
      <c r="N150" s="40"/>
      <c r="O150" s="53"/>
      <c r="P150" s="53"/>
      <c r="Q150" s="53"/>
      <c r="R150" s="53"/>
      <c r="S150" s="53"/>
      <c r="T150" s="53"/>
      <c r="U150" s="41"/>
      <c r="V150" s="38"/>
    </row>
    <row r="151" spans="1:22" ht="15.75" customHeight="1">
      <c r="A151" s="36"/>
      <c r="B151" s="54" t="s">
        <v>62</v>
      </c>
      <c r="C151" s="55">
        <v>43085</v>
      </c>
      <c r="D151" s="56" t="s">
        <v>67</v>
      </c>
      <c r="E151" s="54" t="s">
        <v>64</v>
      </c>
      <c r="F151" s="57" t="str">
        <f>'Christmas Cup - Women'!A11</f>
        <v>CCW-09</v>
      </c>
      <c r="G151" s="57" t="str">
        <f>'Christmas Cup - Women'!B11</f>
        <v>1st Round</v>
      </c>
      <c r="H151" s="57" t="str">
        <f>'Christmas Cup - Women'!C11</f>
        <v>Swieqi Phoenix</v>
      </c>
      <c r="I151" s="57" t="str">
        <f>'Christmas Cup - Women'!D11</f>
        <v>Paola Volley</v>
      </c>
      <c r="J151" s="57">
        <v>3</v>
      </c>
      <c r="K151" s="57">
        <v>1</v>
      </c>
      <c r="L151" s="39"/>
      <c r="M151" s="40"/>
      <c r="N151" s="40"/>
      <c r="O151" s="53"/>
      <c r="P151" s="53"/>
      <c r="Q151" s="53"/>
      <c r="R151" s="53"/>
      <c r="S151" s="53"/>
      <c r="T151" s="53"/>
      <c r="U151" s="41"/>
      <c r="V151" s="38"/>
    </row>
    <row r="152" spans="1:22" ht="7.5" customHeight="1">
      <c r="A152" s="36"/>
      <c r="B152" s="37"/>
      <c r="C152" s="58"/>
      <c r="D152" s="48"/>
      <c r="E152" s="37"/>
      <c r="F152" s="42"/>
      <c r="G152" s="42"/>
      <c r="H152" s="42"/>
      <c r="I152" s="42"/>
      <c r="J152" s="42"/>
      <c r="K152" s="42"/>
      <c r="L152" s="39"/>
      <c r="M152" s="40"/>
      <c r="N152" s="40"/>
      <c r="O152" s="53"/>
      <c r="P152" s="53"/>
      <c r="Q152" s="53"/>
      <c r="R152" s="53"/>
      <c r="S152" s="53"/>
      <c r="T152" s="53"/>
      <c r="U152" s="41"/>
      <c r="V152" s="38"/>
    </row>
    <row r="153" spans="1:22" ht="15.75" customHeight="1">
      <c r="A153" s="36"/>
      <c r="B153" s="54" t="s">
        <v>62</v>
      </c>
      <c r="C153" s="55">
        <v>43085</v>
      </c>
      <c r="D153" s="56" t="s">
        <v>73</v>
      </c>
      <c r="E153" s="54" t="s">
        <v>64</v>
      </c>
      <c r="F153" s="57" t="str">
        <f>'Christmas Cup - Women'!A12</f>
        <v>CCW-10</v>
      </c>
      <c r="G153" s="57" t="str">
        <f>'Christmas Cup - Women'!B12</f>
        <v>1st Round</v>
      </c>
      <c r="H153" s="57" t="str">
        <f>'Christmas Cup - Women'!C12</f>
        <v>Birkirkara</v>
      </c>
      <c r="I153" s="57" t="str">
        <f>'Christmas Cup - Women'!D12</f>
        <v>Fleur de Lys Royal Panda</v>
      </c>
      <c r="J153" s="57">
        <v>0</v>
      </c>
      <c r="K153" s="57">
        <v>3</v>
      </c>
      <c r="L153" s="39"/>
      <c r="M153" s="40"/>
      <c r="N153" s="40"/>
      <c r="O153" s="53"/>
      <c r="P153" s="53"/>
      <c r="Q153" s="53"/>
      <c r="R153" s="53"/>
      <c r="S153" s="53"/>
      <c r="T153" s="53"/>
      <c r="U153" s="41"/>
      <c r="V153" s="38"/>
    </row>
    <row r="154" spans="1:22" ht="15.75" customHeight="1">
      <c r="A154" s="36"/>
      <c r="B154" s="37"/>
      <c r="C154" s="37"/>
      <c r="D154" s="48"/>
      <c r="E154" s="37"/>
      <c r="F154" s="37"/>
      <c r="G154" s="37"/>
      <c r="H154" s="37"/>
      <c r="I154" s="37"/>
      <c r="J154" s="37"/>
      <c r="K154" s="37"/>
      <c r="L154" s="39"/>
      <c r="M154" s="40"/>
      <c r="N154" s="40"/>
      <c r="O154" s="41"/>
      <c r="P154" s="41"/>
      <c r="Q154" s="41"/>
      <c r="R154" s="41"/>
      <c r="S154" s="41"/>
      <c r="T154" s="41"/>
      <c r="U154" s="41"/>
      <c r="V154" s="38"/>
    </row>
    <row r="155" spans="1:22" ht="15.75" customHeight="1">
      <c r="A155" s="36"/>
      <c r="B155" s="78" t="s">
        <v>68</v>
      </c>
      <c r="C155" s="79">
        <v>43086</v>
      </c>
      <c r="D155" s="80" t="s">
        <v>66</v>
      </c>
      <c r="E155" s="78" t="s">
        <v>64</v>
      </c>
      <c r="F155" s="82" t="str">
        <f>'Under 18 League - Women'!A9</f>
        <v>18LW-07</v>
      </c>
      <c r="G155" s="82" t="str">
        <f>'Under 18 League - Women'!B9</f>
        <v>3rd Round</v>
      </c>
      <c r="H155" s="82" t="str">
        <f>'Under 18 League - Women'!C9</f>
        <v>Paola Volley</v>
      </c>
      <c r="I155" s="82" t="str">
        <f>'Under 18 League - Women'!D9</f>
        <v>Swieqi Phoenix</v>
      </c>
      <c r="J155" s="82">
        <v>0</v>
      </c>
      <c r="K155" s="82">
        <v>3</v>
      </c>
      <c r="L155" s="39"/>
      <c r="M155" s="40"/>
      <c r="N155" s="40"/>
      <c r="O155" s="53"/>
      <c r="P155" s="53"/>
      <c r="Q155" s="53"/>
      <c r="R155" s="53"/>
      <c r="S155" s="53"/>
      <c r="T155" s="53"/>
      <c r="U155" s="41"/>
      <c r="V155" s="38"/>
    </row>
    <row r="156" spans="1:22" ht="7.5" customHeight="1">
      <c r="A156" s="36"/>
      <c r="B156" s="37"/>
      <c r="C156" s="58"/>
      <c r="D156" s="48"/>
      <c r="E156" s="37"/>
      <c r="F156" s="42"/>
      <c r="G156" s="42"/>
      <c r="H156" s="42"/>
      <c r="I156" s="42"/>
      <c r="J156" s="42"/>
      <c r="K156" s="42"/>
      <c r="L156" s="39"/>
      <c r="M156" s="40"/>
      <c r="N156" s="40"/>
      <c r="O156" s="53"/>
      <c r="P156" s="53"/>
      <c r="Q156" s="53"/>
      <c r="R156" s="53"/>
      <c r="S156" s="53"/>
      <c r="T156" s="53"/>
      <c r="U156" s="41"/>
      <c r="V156" s="38"/>
    </row>
    <row r="157" spans="1:22" ht="15.75" customHeight="1">
      <c r="A157" s="36"/>
      <c r="B157" s="50" t="s">
        <v>68</v>
      </c>
      <c r="C157" s="51">
        <v>43086</v>
      </c>
      <c r="D157" s="52" t="s">
        <v>67</v>
      </c>
      <c r="E157" s="50" t="s">
        <v>64</v>
      </c>
      <c r="F157" s="71" t="str">
        <f>'Super League - Men'!A9</f>
        <v>SLM-07</v>
      </c>
      <c r="G157" s="71" t="str">
        <f>'Super League - Men'!B9</f>
        <v>2nd Round</v>
      </c>
      <c r="H157" s="71" t="str">
        <f>'Super League - Men'!C9</f>
        <v>Aloysians Ice</v>
      </c>
      <c r="I157" s="71" t="str">
        <f>'Super League - Men'!D9</f>
        <v>Mgarr Volley</v>
      </c>
      <c r="J157" s="71">
        <v>3</v>
      </c>
      <c r="K157" s="71">
        <v>0</v>
      </c>
      <c r="L157" s="39"/>
      <c r="M157" s="40"/>
      <c r="N157" s="40"/>
      <c r="O157" s="53"/>
      <c r="P157" s="53"/>
      <c r="Q157" s="53"/>
      <c r="R157" s="53"/>
      <c r="S157" s="53"/>
      <c r="T157" s="53"/>
      <c r="U157" s="41"/>
      <c r="V157" s="38"/>
    </row>
    <row r="158" spans="1:22" ht="7.5" customHeight="1">
      <c r="A158" s="36"/>
      <c r="B158" s="37"/>
      <c r="C158" s="58"/>
      <c r="D158" s="48"/>
      <c r="E158" s="37"/>
      <c r="F158" s="42"/>
      <c r="G158" s="42"/>
      <c r="H158" s="42"/>
      <c r="I158" s="42"/>
      <c r="J158" s="42"/>
      <c r="K158" s="42"/>
      <c r="L158" s="39"/>
      <c r="M158" s="40"/>
      <c r="N158" s="40"/>
      <c r="O158" s="53"/>
      <c r="P158" s="53"/>
      <c r="Q158" s="53"/>
      <c r="R158" s="53"/>
      <c r="S158" s="53"/>
      <c r="T158" s="53"/>
      <c r="U158" s="41"/>
      <c r="V158" s="38"/>
    </row>
    <row r="159" spans="1:22" ht="15.75" customHeight="1">
      <c r="A159" s="36"/>
      <c r="B159" s="50" t="s">
        <v>68</v>
      </c>
      <c r="C159" s="51">
        <v>43086</v>
      </c>
      <c r="D159" s="52" t="s">
        <v>73</v>
      </c>
      <c r="E159" s="50" t="s">
        <v>64</v>
      </c>
      <c r="F159" s="71" t="str">
        <f>'Super League - Men'!A10</f>
        <v>SLM-08</v>
      </c>
      <c r="G159" s="71" t="str">
        <f>'Super League - Men'!B10</f>
        <v>2nd Round</v>
      </c>
      <c r="H159" s="71" t="str">
        <f>'Super League - Men'!C10</f>
        <v>Aloysians Fire</v>
      </c>
      <c r="I159" s="71" t="str">
        <f>'Super League - Men'!D10</f>
        <v>Valletta Mapei</v>
      </c>
      <c r="J159" s="71">
        <v>1</v>
      </c>
      <c r="K159" s="71">
        <v>3</v>
      </c>
      <c r="L159" s="39"/>
      <c r="M159" s="40"/>
      <c r="N159" s="40"/>
      <c r="O159" s="53"/>
      <c r="P159" s="53"/>
      <c r="Q159" s="53"/>
      <c r="R159" s="53"/>
      <c r="S159" s="53"/>
      <c r="T159" s="53"/>
      <c r="U159" s="41"/>
      <c r="V159" s="38"/>
    </row>
    <row r="160" spans="1:22" ht="15.75" customHeight="1">
      <c r="A160" s="36"/>
      <c r="B160" s="37"/>
      <c r="C160" s="37"/>
      <c r="D160" s="48"/>
      <c r="E160" s="37"/>
      <c r="F160" s="37"/>
      <c r="G160" s="37"/>
      <c r="H160" s="37"/>
      <c r="I160" s="37"/>
      <c r="J160" s="37"/>
      <c r="K160" s="37"/>
      <c r="L160" s="39"/>
      <c r="M160" s="40"/>
      <c r="N160" s="40"/>
      <c r="O160" s="41"/>
      <c r="P160" s="41"/>
      <c r="Q160" s="41"/>
      <c r="R160" s="41"/>
      <c r="S160" s="41"/>
      <c r="T160" s="41"/>
      <c r="U160" s="41"/>
      <c r="V160" s="38"/>
    </row>
    <row r="161" spans="1:22" ht="15.75" customHeight="1">
      <c r="A161" s="36"/>
      <c r="B161" s="54" t="s">
        <v>62</v>
      </c>
      <c r="C161" s="55">
        <v>43092</v>
      </c>
      <c r="D161" s="56"/>
      <c r="E161" s="54" t="s">
        <v>64</v>
      </c>
      <c r="F161" s="150" t="s">
        <v>94</v>
      </c>
      <c r="G161" s="142"/>
      <c r="H161" s="142"/>
      <c r="I161" s="142"/>
      <c r="J161" s="142"/>
      <c r="K161" s="143"/>
      <c r="L161" s="39"/>
      <c r="M161" s="40"/>
      <c r="N161" s="40"/>
      <c r="O161" s="53"/>
      <c r="P161" s="53"/>
      <c r="Q161" s="53"/>
      <c r="R161" s="53"/>
      <c r="S161" s="53"/>
      <c r="T161" s="53"/>
      <c r="U161" s="41"/>
      <c r="V161" s="38"/>
    </row>
    <row r="162" spans="1:22" ht="15.75" customHeight="1">
      <c r="A162" s="36"/>
      <c r="B162" s="37"/>
      <c r="C162" s="37"/>
      <c r="D162" s="48"/>
      <c r="E162" s="37"/>
      <c r="F162" s="37"/>
      <c r="G162" s="37"/>
      <c r="H162" s="37"/>
      <c r="I162" s="37"/>
      <c r="J162" s="37"/>
      <c r="K162" s="37"/>
      <c r="L162" s="39"/>
      <c r="M162" s="40"/>
      <c r="N162" s="40"/>
      <c r="O162" s="41"/>
      <c r="P162" s="41"/>
      <c r="Q162" s="41"/>
      <c r="R162" s="41"/>
      <c r="S162" s="41"/>
      <c r="T162" s="41"/>
      <c r="U162" s="41"/>
      <c r="V162" s="38"/>
    </row>
    <row r="163" spans="1:22" ht="15.75" customHeight="1">
      <c r="A163" s="36"/>
      <c r="B163" s="54" t="s">
        <v>68</v>
      </c>
      <c r="C163" s="55">
        <v>43093</v>
      </c>
      <c r="D163" s="56"/>
      <c r="E163" s="54" t="s">
        <v>64</v>
      </c>
      <c r="F163" s="150" t="s">
        <v>94</v>
      </c>
      <c r="G163" s="142"/>
      <c r="H163" s="142"/>
      <c r="I163" s="142"/>
      <c r="J163" s="142"/>
      <c r="K163" s="143"/>
      <c r="L163" s="39"/>
      <c r="M163" s="40"/>
      <c r="N163" s="40"/>
      <c r="O163" s="53"/>
      <c r="P163" s="53"/>
      <c r="Q163" s="53"/>
      <c r="R163" s="53"/>
      <c r="S163" s="53"/>
      <c r="T163" s="53"/>
      <c r="U163" s="41"/>
      <c r="V163" s="38"/>
    </row>
    <row r="164" spans="1:22" ht="15.75" customHeight="1">
      <c r="A164" s="36"/>
      <c r="B164" s="37"/>
      <c r="C164" s="37"/>
      <c r="D164" s="48"/>
      <c r="E164" s="37"/>
      <c r="F164" s="37"/>
      <c r="G164" s="37"/>
      <c r="H164" s="37"/>
      <c r="I164" s="37"/>
      <c r="J164" s="37"/>
      <c r="K164" s="37"/>
      <c r="L164" s="39"/>
      <c r="M164" s="40"/>
      <c r="N164" s="40"/>
      <c r="O164" s="41"/>
      <c r="P164" s="41"/>
      <c r="Q164" s="41"/>
      <c r="R164" s="41"/>
      <c r="S164" s="41"/>
      <c r="T164" s="41"/>
      <c r="U164" s="41"/>
      <c r="V164" s="38"/>
    </row>
    <row r="165" spans="1:22" ht="15.75" customHeight="1">
      <c r="A165" s="36"/>
      <c r="B165" s="54" t="s">
        <v>62</v>
      </c>
      <c r="C165" s="55">
        <v>43099</v>
      </c>
      <c r="D165" s="56"/>
      <c r="E165" s="54" t="s">
        <v>64</v>
      </c>
      <c r="F165" s="150" t="s">
        <v>94</v>
      </c>
      <c r="G165" s="142"/>
      <c r="H165" s="142"/>
      <c r="I165" s="142"/>
      <c r="J165" s="142"/>
      <c r="K165" s="143"/>
      <c r="L165" s="39"/>
      <c r="M165" s="40"/>
      <c r="N165" s="40"/>
      <c r="O165" s="53"/>
      <c r="P165" s="53"/>
      <c r="Q165" s="53"/>
      <c r="R165" s="53"/>
      <c r="S165" s="53"/>
      <c r="T165" s="53"/>
      <c r="U165" s="41"/>
      <c r="V165" s="38"/>
    </row>
    <row r="166" spans="1:22" ht="15.75" customHeight="1">
      <c r="A166" s="36"/>
      <c r="B166" s="37"/>
      <c r="C166" s="37"/>
      <c r="D166" s="48"/>
      <c r="E166" s="37"/>
      <c r="F166" s="37"/>
      <c r="G166" s="37"/>
      <c r="H166" s="37"/>
      <c r="I166" s="37"/>
      <c r="J166" s="37"/>
      <c r="K166" s="37"/>
      <c r="L166" s="39"/>
      <c r="M166" s="40"/>
      <c r="N166" s="40"/>
      <c r="O166" s="41"/>
      <c r="P166" s="41"/>
      <c r="Q166" s="41"/>
      <c r="R166" s="41"/>
      <c r="S166" s="41"/>
      <c r="T166" s="41"/>
      <c r="U166" s="41"/>
      <c r="V166" s="38"/>
    </row>
    <row r="167" spans="1:22" ht="15.75" customHeight="1">
      <c r="A167" s="36"/>
      <c r="B167" s="54" t="s">
        <v>68</v>
      </c>
      <c r="C167" s="55">
        <v>43100</v>
      </c>
      <c r="D167" s="56"/>
      <c r="E167" s="54" t="s">
        <v>64</v>
      </c>
      <c r="F167" s="150" t="s">
        <v>94</v>
      </c>
      <c r="G167" s="142"/>
      <c r="H167" s="142"/>
      <c r="I167" s="142"/>
      <c r="J167" s="142"/>
      <c r="K167" s="143"/>
      <c r="L167" s="39"/>
      <c r="M167" s="40"/>
      <c r="N167" s="40"/>
      <c r="O167" s="53"/>
      <c r="P167" s="53"/>
      <c r="Q167" s="53"/>
      <c r="R167" s="53"/>
      <c r="S167" s="53"/>
      <c r="T167" s="53"/>
      <c r="U167" s="41"/>
      <c r="V167" s="38"/>
    </row>
    <row r="168" spans="1:22" ht="15.75" customHeight="1">
      <c r="A168" s="36"/>
      <c r="B168" s="37"/>
      <c r="C168" s="37"/>
      <c r="D168" s="48"/>
      <c r="E168" s="37"/>
      <c r="F168" s="37"/>
      <c r="G168" s="37"/>
      <c r="H168" s="37"/>
      <c r="I168" s="37"/>
      <c r="J168" s="37"/>
      <c r="K168" s="37"/>
      <c r="L168" s="39"/>
      <c r="M168" s="40"/>
      <c r="N168" s="40"/>
      <c r="O168" s="41"/>
      <c r="P168" s="41"/>
      <c r="Q168" s="41"/>
      <c r="R168" s="41"/>
      <c r="S168" s="41"/>
      <c r="T168" s="41"/>
      <c r="U168" s="41"/>
      <c r="V168" s="38"/>
    </row>
    <row r="169" spans="1:22" ht="26.25" customHeight="1">
      <c r="A169" s="49"/>
      <c r="B169" s="138" t="s">
        <v>95</v>
      </c>
      <c r="C169" s="139"/>
      <c r="D169" s="139"/>
      <c r="E169" s="139"/>
      <c r="F169" s="139"/>
      <c r="G169" s="139"/>
      <c r="H169" s="139"/>
      <c r="I169" s="139"/>
      <c r="J169" s="139"/>
      <c r="K169" s="140"/>
      <c r="L169" s="39"/>
      <c r="M169" s="40"/>
      <c r="N169" s="40"/>
      <c r="O169" s="41"/>
      <c r="P169" s="41"/>
      <c r="Q169" s="41"/>
      <c r="R169" s="41"/>
      <c r="S169" s="41"/>
      <c r="T169" s="41"/>
      <c r="U169" s="41"/>
      <c r="V169" s="38"/>
    </row>
    <row r="170" spans="1:22" ht="15.75" customHeight="1">
      <c r="A170" s="36"/>
      <c r="B170" s="37"/>
      <c r="C170" s="37"/>
      <c r="D170" s="48"/>
      <c r="E170" s="37"/>
      <c r="F170" s="37"/>
      <c r="G170" s="37"/>
      <c r="H170" s="37"/>
      <c r="I170" s="37"/>
      <c r="J170" s="37"/>
      <c r="K170" s="37"/>
      <c r="L170" s="39"/>
      <c r="M170" s="40"/>
      <c r="N170" s="40"/>
      <c r="O170" s="41"/>
      <c r="P170" s="41"/>
      <c r="Q170" s="41"/>
      <c r="R170" s="41"/>
      <c r="S170" s="41"/>
      <c r="T170" s="41"/>
      <c r="U170" s="41"/>
      <c r="V170" s="38"/>
    </row>
    <row r="171" spans="1:22" ht="15.75" customHeight="1">
      <c r="A171" s="89"/>
      <c r="B171" s="90" t="s">
        <v>75</v>
      </c>
      <c r="C171" s="51">
        <v>43105</v>
      </c>
      <c r="D171" s="91" t="s">
        <v>76</v>
      </c>
      <c r="E171" s="71" t="s">
        <v>64</v>
      </c>
      <c r="F171" s="71" t="str">
        <f>'Super League - Men'!A11</f>
        <v>SLM-09</v>
      </c>
      <c r="G171" s="71" t="str">
        <f>'Super League - Men'!B11</f>
        <v>2nd Round</v>
      </c>
      <c r="H171" s="71" t="str">
        <f>'Super League - Men'!C11</f>
        <v>Mgarr Volley</v>
      </c>
      <c r="I171" s="71" t="str">
        <f>'Super League - Men'!D11</f>
        <v>Aloysians Fire</v>
      </c>
      <c r="J171" s="71">
        <f>'Super League - Men'!E11</f>
        <v>0</v>
      </c>
      <c r="K171" s="71">
        <f>'Super League - Men'!F11</f>
        <v>3</v>
      </c>
      <c r="M171" s="92"/>
      <c r="N171" s="92"/>
      <c r="O171" s="93"/>
      <c r="P171" s="93"/>
      <c r="Q171" s="93"/>
      <c r="R171" s="93"/>
      <c r="S171" s="93"/>
      <c r="T171" s="93"/>
      <c r="U171" s="94"/>
      <c r="V171" s="95"/>
    </row>
    <row r="172" spans="1:22" ht="15.75" customHeight="1">
      <c r="A172" s="36"/>
      <c r="B172" s="37"/>
      <c r="C172" s="37"/>
      <c r="D172" s="48"/>
      <c r="E172" s="37"/>
      <c r="F172" s="37"/>
      <c r="G172" s="37"/>
      <c r="H172" s="37"/>
      <c r="I172" s="37"/>
      <c r="J172" s="37"/>
      <c r="K172" s="37"/>
      <c r="L172" s="39"/>
      <c r="M172" s="40"/>
      <c r="N172" s="40"/>
      <c r="O172" s="41"/>
      <c r="P172" s="41"/>
      <c r="Q172" s="41"/>
      <c r="R172" s="41"/>
      <c r="S172" s="41"/>
      <c r="T172" s="41"/>
      <c r="U172" s="41"/>
      <c r="V172" s="38"/>
    </row>
    <row r="173" spans="1:22" ht="15.75" customHeight="1">
      <c r="A173" s="36"/>
      <c r="B173" s="78" t="s">
        <v>62</v>
      </c>
      <c r="C173" s="79">
        <v>43106</v>
      </c>
      <c r="D173" s="80" t="s">
        <v>66</v>
      </c>
      <c r="E173" s="78" t="s">
        <v>64</v>
      </c>
      <c r="F173" s="82" t="str">
        <f>'Under 18 League - Women'!A10</f>
        <v>18LW-08</v>
      </c>
      <c r="G173" s="82" t="str">
        <f>'Under 18 League - Women'!B10</f>
        <v>3rd Round</v>
      </c>
      <c r="H173" s="82" t="str">
        <f>'Under 18 League - Women'!C10</f>
        <v>Swieqi Phoenix</v>
      </c>
      <c r="I173" s="82" t="str">
        <f>'Under 18 League - Women'!D10</f>
        <v>Balzan Flyers</v>
      </c>
      <c r="J173" s="82">
        <f>'Under 18 League - Women'!E10</f>
        <v>3</v>
      </c>
      <c r="K173" s="82">
        <f>'Under 18 League - Women'!F10</f>
        <v>2</v>
      </c>
      <c r="L173" s="39"/>
      <c r="M173" s="40"/>
      <c r="N173" s="40"/>
      <c r="O173" s="53"/>
      <c r="P173" s="53"/>
      <c r="Q173" s="53"/>
      <c r="R173" s="53"/>
      <c r="S173" s="53"/>
      <c r="T173" s="53"/>
      <c r="U173" s="41"/>
      <c r="V173" s="38"/>
    </row>
    <row r="174" spans="1:22" ht="7.5" customHeight="1">
      <c r="A174" s="36"/>
      <c r="B174" s="37"/>
      <c r="C174" s="58"/>
      <c r="D174" s="48"/>
      <c r="E174" s="37"/>
      <c r="F174" s="42"/>
      <c r="G174" s="42"/>
      <c r="H174" s="42"/>
      <c r="I174" s="42"/>
      <c r="J174" s="42"/>
      <c r="K174" s="42"/>
      <c r="L174" s="39"/>
      <c r="M174" s="40"/>
      <c r="N174" s="40"/>
      <c r="O174" s="53"/>
      <c r="P174" s="53"/>
      <c r="Q174" s="53"/>
      <c r="R174" s="53"/>
      <c r="S174" s="53"/>
      <c r="T174" s="53"/>
      <c r="U174" s="41"/>
      <c r="V174" s="38"/>
    </row>
    <row r="175" spans="1:22" ht="15.75" customHeight="1">
      <c r="A175" s="36"/>
      <c r="B175" s="72" t="s">
        <v>62</v>
      </c>
      <c r="C175" s="73">
        <v>43106</v>
      </c>
      <c r="D175" s="74" t="s">
        <v>67</v>
      </c>
      <c r="E175" s="72" t="s">
        <v>64</v>
      </c>
      <c r="F175" s="75" t="str">
        <f>'Super League - Women'!A11</f>
        <v>SLW-09</v>
      </c>
      <c r="G175" s="75" t="str">
        <f>'Super League - Women'!B11</f>
        <v>1st Round</v>
      </c>
      <c r="H175" s="75" t="str">
        <f>'Super League - Women'!C11</f>
        <v>Kavallieri</v>
      </c>
      <c r="I175" s="75" t="str">
        <f>'Super League - Women'!D11</f>
        <v>Paola Volley</v>
      </c>
      <c r="J175" s="75">
        <f>'Super League - Women'!E11</f>
        <v>0</v>
      </c>
      <c r="K175" s="75">
        <f>'Super League - Women'!F11</f>
        <v>3</v>
      </c>
      <c r="L175" s="39"/>
      <c r="M175" s="40"/>
      <c r="N175" s="40"/>
      <c r="O175" s="53"/>
      <c r="P175" s="53"/>
      <c r="Q175" s="53"/>
      <c r="R175" s="53"/>
      <c r="S175" s="53"/>
      <c r="T175" s="53"/>
      <c r="U175" s="41"/>
      <c r="V175" s="38"/>
    </row>
    <row r="176" spans="1:22" ht="7.5" customHeight="1">
      <c r="A176" s="36"/>
      <c r="B176" s="37"/>
      <c r="C176" s="58"/>
      <c r="D176" s="48"/>
      <c r="E176" s="37"/>
      <c r="F176" s="42"/>
      <c r="G176" s="42"/>
      <c r="H176" s="42"/>
      <c r="I176" s="42"/>
      <c r="J176" s="42"/>
      <c r="K176" s="42"/>
      <c r="L176" s="39"/>
      <c r="M176" s="40"/>
      <c r="N176" s="40"/>
      <c r="O176" s="53"/>
      <c r="P176" s="53"/>
      <c r="Q176" s="53"/>
      <c r="R176" s="53"/>
      <c r="S176" s="53"/>
      <c r="T176" s="53"/>
      <c r="U176" s="41"/>
      <c r="V176" s="38"/>
    </row>
    <row r="177" spans="1:22" ht="15.75" customHeight="1">
      <c r="A177" s="36"/>
      <c r="B177" s="72" t="s">
        <v>62</v>
      </c>
      <c r="C177" s="73">
        <v>43106</v>
      </c>
      <c r="D177" s="74" t="s">
        <v>73</v>
      </c>
      <c r="E177" s="72" t="s">
        <v>64</v>
      </c>
      <c r="F177" s="75" t="str">
        <f>'Super League - Women'!A12</f>
        <v>SLW-10</v>
      </c>
      <c r="G177" s="75" t="str">
        <f>'Super League - Women'!B12</f>
        <v>1st Round</v>
      </c>
      <c r="H177" s="75" t="str">
        <f>'Super League - Women'!C12</f>
        <v>Sliema Wanderers</v>
      </c>
      <c r="I177" s="75" t="str">
        <f>'Super League - Women'!D12</f>
        <v>Balzan Flyers Crosscraft</v>
      </c>
      <c r="J177" s="75">
        <f>'Super League - Women'!E12</f>
        <v>0</v>
      </c>
      <c r="K177" s="75">
        <f>'Super League - Women'!F12</f>
        <v>3</v>
      </c>
      <c r="L177" s="39"/>
      <c r="M177" s="40"/>
      <c r="N177" s="40"/>
      <c r="O177" s="53"/>
      <c r="P177" s="53"/>
      <c r="Q177" s="53"/>
      <c r="R177" s="53"/>
      <c r="S177" s="53"/>
      <c r="T177" s="53"/>
      <c r="U177" s="41"/>
      <c r="V177" s="38"/>
    </row>
    <row r="178" spans="1:22" ht="15.75" customHeight="1">
      <c r="A178" s="36"/>
      <c r="B178" s="37"/>
      <c r="C178" s="37"/>
      <c r="D178" s="48"/>
      <c r="E178" s="37"/>
      <c r="F178" s="37"/>
      <c r="G178" s="37"/>
      <c r="H178" s="37"/>
      <c r="I178" s="37"/>
      <c r="J178" s="37"/>
      <c r="K178" s="37"/>
      <c r="L178" s="39"/>
      <c r="M178" s="40"/>
      <c r="N178" s="40"/>
      <c r="O178" s="41"/>
      <c r="P178" s="41"/>
      <c r="Q178" s="41"/>
      <c r="R178" s="41"/>
      <c r="S178" s="41"/>
      <c r="T178" s="41"/>
      <c r="U178" s="41"/>
      <c r="V178" s="38"/>
    </row>
    <row r="179" spans="1:26" ht="15.75" customHeight="1">
      <c r="A179" s="36"/>
      <c r="B179" s="96" t="s">
        <v>68</v>
      </c>
      <c r="C179" s="97">
        <v>43107</v>
      </c>
      <c r="D179" s="98" t="s">
        <v>96</v>
      </c>
      <c r="E179" s="96" t="s">
        <v>64</v>
      </c>
      <c r="F179" s="99"/>
      <c r="G179" s="99" t="s">
        <v>97</v>
      </c>
      <c r="H179" s="149" t="s">
        <v>98</v>
      </c>
      <c r="I179" s="142"/>
      <c r="J179" s="142"/>
      <c r="K179" s="143"/>
      <c r="L179" s="39"/>
      <c r="M179" s="40"/>
      <c r="N179" s="40"/>
      <c r="O179" s="53"/>
      <c r="P179" s="53"/>
      <c r="Q179" s="53"/>
      <c r="R179" s="53"/>
      <c r="S179" s="53"/>
      <c r="T179" s="53"/>
      <c r="U179" s="41"/>
      <c r="V179" s="38"/>
      <c r="W179" s="38"/>
      <c r="X179" s="38"/>
      <c r="Y179" s="38"/>
      <c r="Z179" s="38"/>
    </row>
    <row r="180" spans="1:26" ht="7.5" customHeight="1">
      <c r="A180" s="36"/>
      <c r="B180" s="37"/>
      <c r="C180" s="58"/>
      <c r="D180" s="48"/>
      <c r="E180" s="37"/>
      <c r="F180" s="42"/>
      <c r="G180" s="42"/>
      <c r="H180" s="42"/>
      <c r="I180" s="42"/>
      <c r="J180" s="42"/>
      <c r="K180" s="42"/>
      <c r="L180" s="39"/>
      <c r="M180" s="40"/>
      <c r="N180" s="40"/>
      <c r="O180" s="53"/>
      <c r="P180" s="53"/>
      <c r="Q180" s="53"/>
      <c r="R180" s="53"/>
      <c r="S180" s="53"/>
      <c r="T180" s="53"/>
      <c r="U180" s="41"/>
      <c r="V180" s="38"/>
      <c r="W180" s="38"/>
      <c r="X180" s="38"/>
      <c r="Y180" s="38"/>
      <c r="Z180" s="38"/>
    </row>
    <row r="181" spans="1:22" ht="15.75" customHeight="1">
      <c r="A181" s="36"/>
      <c r="B181" s="67" t="s">
        <v>68</v>
      </c>
      <c r="C181" s="68">
        <v>43107</v>
      </c>
      <c r="D181" s="69" t="s">
        <v>66</v>
      </c>
      <c r="E181" s="67" t="s">
        <v>64</v>
      </c>
      <c r="F181" s="70" t="str">
        <f>'1st Division League - Women'!A11</f>
        <v>1LW-09</v>
      </c>
      <c r="G181" s="70" t="str">
        <f>'1st Division League - Women'!B11</f>
        <v>1st Round</v>
      </c>
      <c r="H181" s="70" t="str">
        <f>'1st Division League - Women'!C11</f>
        <v>Fleur de Lys Swatch</v>
      </c>
      <c r="I181" s="70" t="str">
        <f>'1st Division League - Women'!D11</f>
        <v>Balzan Flyers</v>
      </c>
      <c r="J181" s="70">
        <f>'1st Division League - Women'!E11</f>
        <v>3</v>
      </c>
      <c r="K181" s="70">
        <f>'1st Division League - Women'!F11</f>
        <v>0</v>
      </c>
      <c r="L181" s="39"/>
      <c r="M181" s="40"/>
      <c r="N181" s="40"/>
      <c r="O181" s="53"/>
      <c r="P181" s="53"/>
      <c r="Q181" s="53"/>
      <c r="R181" s="53"/>
      <c r="S181" s="53"/>
      <c r="T181" s="53"/>
      <c r="U181" s="41"/>
      <c r="V181" s="38"/>
    </row>
    <row r="182" spans="1:22" ht="7.5" customHeight="1">
      <c r="A182" s="36"/>
      <c r="B182" s="37"/>
      <c r="C182" s="58"/>
      <c r="D182" s="48"/>
      <c r="E182" s="37"/>
      <c r="F182" s="42"/>
      <c r="G182" s="42"/>
      <c r="H182" s="42"/>
      <c r="I182" s="42"/>
      <c r="J182" s="42"/>
      <c r="K182" s="42"/>
      <c r="L182" s="39"/>
      <c r="M182" s="40"/>
      <c r="N182" s="40"/>
      <c r="O182" s="53"/>
      <c r="P182" s="53"/>
      <c r="Q182" s="53"/>
      <c r="R182" s="53"/>
      <c r="S182" s="53"/>
      <c r="T182" s="53"/>
      <c r="U182" s="41"/>
      <c r="V182" s="38"/>
    </row>
    <row r="183" spans="1:22" ht="15.75" customHeight="1">
      <c r="A183" s="36"/>
      <c r="B183" s="67" t="s">
        <v>68</v>
      </c>
      <c r="C183" s="68">
        <v>43107</v>
      </c>
      <c r="D183" s="69" t="s">
        <v>67</v>
      </c>
      <c r="E183" s="67" t="s">
        <v>64</v>
      </c>
      <c r="F183" s="70" t="str">
        <f>'1st Division League - Women'!A12</f>
        <v>1LW-10</v>
      </c>
      <c r="G183" s="70" t="str">
        <f>'1st Division League - Women'!B12</f>
        <v>1st Round</v>
      </c>
      <c r="H183" s="70" t="str">
        <f>'1st Division League - Women'!C12</f>
        <v>Swieqi Phoenix</v>
      </c>
      <c r="I183" s="70" t="str">
        <f>'1st Division League - Women'!D12</f>
        <v>Mgarr Volley</v>
      </c>
      <c r="J183" s="70">
        <f>'1st Division League - Women'!E12</f>
        <v>3</v>
      </c>
      <c r="K183" s="70">
        <f>'1st Division League - Women'!F12</f>
        <v>0</v>
      </c>
      <c r="L183" s="39"/>
      <c r="M183" s="40"/>
      <c r="N183" s="40"/>
      <c r="O183" s="53"/>
      <c r="P183" s="53"/>
      <c r="Q183" s="53"/>
      <c r="R183" s="53"/>
      <c r="S183" s="53"/>
      <c r="T183" s="53"/>
      <c r="U183" s="41"/>
      <c r="V183" s="38"/>
    </row>
    <row r="184" spans="1:22" ht="7.5" customHeight="1">
      <c r="A184" s="36"/>
      <c r="B184" s="37"/>
      <c r="C184" s="58"/>
      <c r="D184" s="48"/>
      <c r="E184" s="37"/>
      <c r="F184" s="42"/>
      <c r="G184" s="42"/>
      <c r="H184" s="42"/>
      <c r="I184" s="42"/>
      <c r="J184" s="42"/>
      <c r="K184" s="42"/>
      <c r="L184" s="39"/>
      <c r="M184" s="40"/>
      <c r="N184" s="40"/>
      <c r="O184" s="53"/>
      <c r="P184" s="53"/>
      <c r="Q184" s="53"/>
      <c r="R184" s="53"/>
      <c r="S184" s="53"/>
      <c r="T184" s="53"/>
      <c r="U184" s="41"/>
      <c r="V184" s="38"/>
    </row>
    <row r="185" spans="1:22" ht="15.75" customHeight="1">
      <c r="A185" s="36"/>
      <c r="B185" s="67" t="s">
        <v>68</v>
      </c>
      <c r="C185" s="68">
        <v>43107</v>
      </c>
      <c r="D185" s="69" t="s">
        <v>73</v>
      </c>
      <c r="E185" s="67" t="s">
        <v>64</v>
      </c>
      <c r="F185" s="70" t="str">
        <f>'1st Division League - Women'!A16</f>
        <v>1LW-14</v>
      </c>
      <c r="G185" s="70" t="str">
        <f>'1st Division League - Women'!B16</f>
        <v>1st Round</v>
      </c>
      <c r="H185" s="70" t="str">
        <f>'1st Division League - Women'!C16</f>
        <v>Birkirkara</v>
      </c>
      <c r="I185" s="70" t="str">
        <f>'1st Division League - Women'!D16</f>
        <v>Zabbar St. Patrick's</v>
      </c>
      <c r="J185" s="70">
        <f>'1st Division League - Women'!E16</f>
        <v>3</v>
      </c>
      <c r="K185" s="70">
        <f>'1st Division League - Women'!F16</f>
        <v>0</v>
      </c>
      <c r="L185" s="39"/>
      <c r="M185" s="40"/>
      <c r="N185" s="40"/>
      <c r="O185" s="53"/>
      <c r="P185" s="53"/>
      <c r="Q185" s="53"/>
      <c r="R185" s="53"/>
      <c r="S185" s="53"/>
      <c r="T185" s="53"/>
      <c r="U185" s="41"/>
      <c r="V185" s="38"/>
    </row>
    <row r="186" spans="1:22" ht="15.75" customHeight="1">
      <c r="A186" s="36"/>
      <c r="B186" s="37"/>
      <c r="C186" s="37"/>
      <c r="D186" s="48"/>
      <c r="E186" s="37"/>
      <c r="F186" s="37"/>
      <c r="G186" s="37"/>
      <c r="H186" s="37"/>
      <c r="I186" s="37"/>
      <c r="J186" s="37"/>
      <c r="K186" s="37"/>
      <c r="L186" s="39"/>
      <c r="M186" s="40"/>
      <c r="N186" s="40"/>
      <c r="O186" s="41"/>
      <c r="P186" s="41"/>
      <c r="Q186" s="41"/>
      <c r="R186" s="41"/>
      <c r="S186" s="41"/>
      <c r="T186" s="41"/>
      <c r="U186" s="41"/>
      <c r="V186" s="38"/>
    </row>
    <row r="187" spans="1:22" ht="15.75" customHeight="1">
      <c r="A187" s="89"/>
      <c r="B187" s="90" t="s">
        <v>75</v>
      </c>
      <c r="C187" s="51">
        <v>43112</v>
      </c>
      <c r="D187" s="91" t="s">
        <v>76</v>
      </c>
      <c r="E187" s="90" t="s">
        <v>64</v>
      </c>
      <c r="F187" s="71" t="str">
        <f>'Super League - Men'!A12</f>
        <v>SLM-10</v>
      </c>
      <c r="G187" s="71" t="str">
        <f>'Super League - Men'!B12</f>
        <v>2nd Round</v>
      </c>
      <c r="H187" s="71" t="str">
        <f>'Super League - Men'!C12</f>
        <v>Valletta Mapei</v>
      </c>
      <c r="I187" s="71" t="str">
        <f>'Super League - Men'!D12</f>
        <v>Aloysians Ice</v>
      </c>
      <c r="J187" s="71">
        <f>'Super League - Men'!E12</f>
        <v>3</v>
      </c>
      <c r="K187" s="71">
        <f>'Super League - Men'!F12</f>
        <v>1</v>
      </c>
      <c r="M187" s="92"/>
      <c r="N187" s="92"/>
      <c r="O187" s="93"/>
      <c r="P187" s="93"/>
      <c r="Q187" s="93"/>
      <c r="R187" s="93"/>
      <c r="S187" s="93"/>
      <c r="T187" s="93"/>
      <c r="U187" s="94"/>
      <c r="V187" s="95"/>
    </row>
    <row r="188" spans="1:22" ht="15.75" customHeight="1">
      <c r="A188" s="36"/>
      <c r="B188" s="37"/>
      <c r="C188" s="37"/>
      <c r="D188" s="48"/>
      <c r="E188" s="37"/>
      <c r="F188" s="37"/>
      <c r="G188" s="37"/>
      <c r="H188" s="37"/>
      <c r="I188" s="37"/>
      <c r="J188" s="37"/>
      <c r="K188" s="37"/>
      <c r="L188" s="39"/>
      <c r="M188" s="40"/>
      <c r="N188" s="40"/>
      <c r="O188" s="41"/>
      <c r="P188" s="41"/>
      <c r="Q188" s="41"/>
      <c r="R188" s="41"/>
      <c r="S188" s="41"/>
      <c r="T188" s="41"/>
      <c r="U188" s="41"/>
      <c r="V188" s="38"/>
    </row>
    <row r="189" spans="1:22" ht="15.75" customHeight="1">
      <c r="A189" s="36"/>
      <c r="B189" s="67" t="s">
        <v>62</v>
      </c>
      <c r="C189" s="68">
        <v>43113</v>
      </c>
      <c r="D189" s="69" t="s">
        <v>66</v>
      </c>
      <c r="E189" s="67" t="s">
        <v>64</v>
      </c>
      <c r="F189" s="70" t="str">
        <f>'1st Division League - Women'!A14</f>
        <v>1LW-12</v>
      </c>
      <c r="G189" s="70" t="str">
        <f>'1st Division League - Women'!B14</f>
        <v>1st Round</v>
      </c>
      <c r="H189" s="70" t="str">
        <f>'1st Division League - Women'!C14</f>
        <v>Balzan Flyers</v>
      </c>
      <c r="I189" s="70" t="str">
        <f>'1st Division League - Women'!D14</f>
        <v>Birkirkara</v>
      </c>
      <c r="J189" s="70">
        <f>'1st Division League - Women'!E14</f>
        <v>3</v>
      </c>
      <c r="K189" s="70">
        <f>'1st Division League - Women'!F14</f>
        <v>1</v>
      </c>
      <c r="L189" s="39"/>
      <c r="M189" s="40"/>
      <c r="N189" s="40"/>
      <c r="O189" s="53"/>
      <c r="P189" s="53"/>
      <c r="Q189" s="53"/>
      <c r="R189" s="53"/>
      <c r="S189" s="53"/>
      <c r="T189" s="53"/>
      <c r="U189" s="41"/>
      <c r="V189" s="38"/>
    </row>
    <row r="190" spans="1:22" ht="7.5" customHeight="1">
      <c r="A190" s="36"/>
      <c r="B190" s="37"/>
      <c r="C190" s="58"/>
      <c r="D190" s="48"/>
      <c r="E190" s="37"/>
      <c r="F190" s="42"/>
      <c r="G190" s="42"/>
      <c r="H190" s="42"/>
      <c r="I190" s="42"/>
      <c r="J190" s="42"/>
      <c r="K190" s="42"/>
      <c r="L190" s="39"/>
      <c r="M190" s="40"/>
      <c r="N190" s="40"/>
      <c r="O190" s="53"/>
      <c r="P190" s="53"/>
      <c r="Q190" s="53"/>
      <c r="R190" s="53"/>
      <c r="S190" s="53"/>
      <c r="T190" s="53"/>
      <c r="U190" s="41"/>
      <c r="V190" s="38"/>
    </row>
    <row r="191" spans="1:22" ht="15.75" customHeight="1">
      <c r="A191" s="36"/>
      <c r="B191" s="67" t="s">
        <v>62</v>
      </c>
      <c r="C191" s="68">
        <v>43113</v>
      </c>
      <c r="D191" s="69" t="s">
        <v>67</v>
      </c>
      <c r="E191" s="67" t="s">
        <v>64</v>
      </c>
      <c r="F191" s="70" t="str">
        <f>'1st Division League - Women'!A15</f>
        <v>1LW-13</v>
      </c>
      <c r="G191" s="70" t="str">
        <f>'1st Division League - Women'!B15</f>
        <v>1st Round</v>
      </c>
      <c r="H191" s="70" t="str">
        <f>'1st Division League - Women'!C15</f>
        <v>Fleur de Lys Swatch</v>
      </c>
      <c r="I191" s="70" t="str">
        <f>'1st Division League - Women'!D15</f>
        <v>Swieqi Phoenix</v>
      </c>
      <c r="J191" s="70">
        <f>'1st Division League - Women'!E15</f>
        <v>0</v>
      </c>
      <c r="K191" s="70">
        <f>'1st Division League - Women'!F15</f>
        <v>3</v>
      </c>
      <c r="L191" s="39"/>
      <c r="M191" s="40"/>
      <c r="N191" s="40"/>
      <c r="O191" s="53"/>
      <c r="P191" s="53"/>
      <c r="Q191" s="53"/>
      <c r="R191" s="53"/>
      <c r="S191" s="53"/>
      <c r="T191" s="53"/>
      <c r="U191" s="41"/>
      <c r="V191" s="38"/>
    </row>
    <row r="192" spans="1:22" ht="7.5" customHeight="1">
      <c r="A192" s="36"/>
      <c r="B192" s="37"/>
      <c r="C192" s="58"/>
      <c r="D192" s="48"/>
      <c r="E192" s="37"/>
      <c r="F192" s="42"/>
      <c r="G192" s="42"/>
      <c r="H192" s="42"/>
      <c r="I192" s="42"/>
      <c r="J192" s="42"/>
      <c r="K192" s="42"/>
      <c r="L192" s="39"/>
      <c r="M192" s="40"/>
      <c r="N192" s="40"/>
      <c r="O192" s="53"/>
      <c r="P192" s="53"/>
      <c r="Q192" s="53"/>
      <c r="R192" s="53"/>
      <c r="S192" s="53"/>
      <c r="T192" s="53"/>
      <c r="U192" s="41"/>
      <c r="V192" s="38"/>
    </row>
    <row r="193" spans="1:22" ht="15.75" customHeight="1">
      <c r="A193" s="36"/>
      <c r="B193" s="67" t="s">
        <v>62</v>
      </c>
      <c r="C193" s="68">
        <v>43113</v>
      </c>
      <c r="D193" s="69" t="s">
        <v>73</v>
      </c>
      <c r="E193" s="67" t="s">
        <v>64</v>
      </c>
      <c r="F193" s="70" t="str">
        <f>'1st Division League - Women'!A23</f>
        <v>1LW-21</v>
      </c>
      <c r="G193" s="70" t="str">
        <f>'1st Division League - Women'!B23</f>
        <v>1st Round</v>
      </c>
      <c r="H193" s="70" t="str">
        <f>'1st Division League - Women'!C23</f>
        <v>Mgarr Volley</v>
      </c>
      <c r="I193" s="70" t="str">
        <f>'1st Division League - Women'!D23</f>
        <v>Mellieha</v>
      </c>
      <c r="J193" s="70">
        <f>'1st Division League - Women'!E23</f>
        <v>3</v>
      </c>
      <c r="K193" s="70">
        <f>'1st Division League - Women'!F23</f>
        <v>0</v>
      </c>
      <c r="L193" s="39"/>
      <c r="M193" s="40"/>
      <c r="N193" s="40"/>
      <c r="O193" s="53"/>
      <c r="P193" s="53"/>
      <c r="Q193" s="53"/>
      <c r="R193" s="53"/>
      <c r="S193" s="53"/>
      <c r="T193" s="53"/>
      <c r="U193" s="41"/>
      <c r="V193" s="38"/>
    </row>
    <row r="194" spans="1:22" ht="15.75" customHeight="1">
      <c r="A194" s="36"/>
      <c r="B194" s="37"/>
      <c r="C194" s="37"/>
      <c r="D194" s="48"/>
      <c r="E194" s="37"/>
      <c r="F194" s="37"/>
      <c r="G194" s="37"/>
      <c r="H194" s="37"/>
      <c r="I194" s="37"/>
      <c r="J194" s="37"/>
      <c r="K194" s="37"/>
      <c r="L194" s="39"/>
      <c r="M194" s="40"/>
      <c r="N194" s="40"/>
      <c r="O194" s="41"/>
      <c r="P194" s="41"/>
      <c r="Q194" s="41"/>
      <c r="R194" s="41"/>
      <c r="S194" s="41"/>
      <c r="T194" s="41"/>
      <c r="U194" s="41"/>
      <c r="V194" s="38"/>
    </row>
    <row r="195" spans="1:26" ht="15.75" customHeight="1">
      <c r="A195" s="36"/>
      <c r="B195" s="96" t="s">
        <v>68</v>
      </c>
      <c r="C195" s="97">
        <v>43114</v>
      </c>
      <c r="D195" s="98" t="s">
        <v>99</v>
      </c>
      <c r="E195" s="96" t="s">
        <v>64</v>
      </c>
      <c r="F195" s="99"/>
      <c r="G195" s="99" t="s">
        <v>100</v>
      </c>
      <c r="H195" s="149" t="s">
        <v>98</v>
      </c>
      <c r="I195" s="142"/>
      <c r="J195" s="142"/>
      <c r="K195" s="143"/>
      <c r="L195" s="39"/>
      <c r="M195" s="40"/>
      <c r="N195" s="40"/>
      <c r="O195" s="53"/>
      <c r="P195" s="53"/>
      <c r="Q195" s="53"/>
      <c r="R195" s="53"/>
      <c r="S195" s="53"/>
      <c r="T195" s="53"/>
      <c r="U195" s="41"/>
      <c r="V195" s="38"/>
      <c r="W195" s="38"/>
      <c r="X195" s="38"/>
      <c r="Y195" s="38"/>
      <c r="Z195" s="38"/>
    </row>
    <row r="196" spans="1:26" ht="7.5" customHeight="1">
      <c r="A196" s="36"/>
      <c r="B196" s="37"/>
      <c r="C196" s="58"/>
      <c r="D196" s="48"/>
      <c r="E196" s="37"/>
      <c r="F196" s="42"/>
      <c r="G196" s="42"/>
      <c r="H196" s="42"/>
      <c r="I196" s="42"/>
      <c r="J196" s="42"/>
      <c r="K196" s="42"/>
      <c r="L196" s="39"/>
      <c r="M196" s="40"/>
      <c r="N196" s="40"/>
      <c r="O196" s="53"/>
      <c r="P196" s="53"/>
      <c r="Q196" s="53"/>
      <c r="R196" s="53"/>
      <c r="S196" s="53"/>
      <c r="T196" s="53"/>
      <c r="U196" s="41"/>
      <c r="V196" s="38"/>
      <c r="W196" s="38"/>
      <c r="X196" s="38"/>
      <c r="Y196" s="38"/>
      <c r="Z196" s="38"/>
    </row>
    <row r="197" spans="1:22" ht="15.75" customHeight="1">
      <c r="A197" s="36"/>
      <c r="B197" s="78" t="s">
        <v>68</v>
      </c>
      <c r="C197" s="79">
        <v>43114</v>
      </c>
      <c r="D197" s="80" t="s">
        <v>66</v>
      </c>
      <c r="E197" s="78" t="s">
        <v>64</v>
      </c>
      <c r="F197" s="82" t="str">
        <f>'Under 18 League - Women'!A11</f>
        <v>18LW-09</v>
      </c>
      <c r="G197" s="82" t="str">
        <f>'Under 18 League - Women'!B11</f>
        <v>3rd Round</v>
      </c>
      <c r="H197" s="82" t="str">
        <f>'Under 18 League - Women'!C11</f>
        <v>Balzan Flyers</v>
      </c>
      <c r="I197" s="82" t="str">
        <f>'Under 18 League - Women'!D11</f>
        <v>Paola Volley</v>
      </c>
      <c r="J197" s="82">
        <f>'Under 18 League - Women'!E11</f>
        <v>3</v>
      </c>
      <c r="K197" s="82">
        <f>'Under 18 League - Women'!F11</f>
        <v>0</v>
      </c>
      <c r="L197" s="39"/>
      <c r="M197" s="40"/>
      <c r="N197" s="40"/>
      <c r="O197" s="53"/>
      <c r="P197" s="53"/>
      <c r="Q197" s="53"/>
      <c r="R197" s="53"/>
      <c r="S197" s="53"/>
      <c r="T197" s="53"/>
      <c r="U197" s="41"/>
      <c r="V197" s="38"/>
    </row>
    <row r="198" spans="1:22" ht="7.5" customHeight="1">
      <c r="A198" s="36"/>
      <c r="B198" s="58"/>
      <c r="C198" s="58"/>
      <c r="D198" s="48"/>
      <c r="E198" s="37"/>
      <c r="F198" s="42"/>
      <c r="G198" s="42"/>
      <c r="H198" s="42"/>
      <c r="I198" s="42"/>
      <c r="J198" s="42"/>
      <c r="K198" s="42"/>
      <c r="L198" s="39"/>
      <c r="M198" s="40"/>
      <c r="N198" s="40"/>
      <c r="O198" s="53"/>
      <c r="P198" s="53"/>
      <c r="Q198" s="53"/>
      <c r="R198" s="53"/>
      <c r="S198" s="53"/>
      <c r="T198" s="53"/>
      <c r="U198" s="41"/>
      <c r="V198" s="38"/>
    </row>
    <row r="199" spans="1:22" ht="15.75" customHeight="1">
      <c r="A199" s="36"/>
      <c r="B199" s="72" t="s">
        <v>68</v>
      </c>
      <c r="C199" s="73">
        <v>43114</v>
      </c>
      <c r="D199" s="74" t="s">
        <v>67</v>
      </c>
      <c r="E199" s="72" t="s">
        <v>64</v>
      </c>
      <c r="F199" s="75" t="str">
        <f>'Super League - Women'!A14</f>
        <v>SLW-12</v>
      </c>
      <c r="G199" s="75" t="str">
        <f>'Super League - Women'!B14</f>
        <v>2nd Round</v>
      </c>
      <c r="H199" s="75" t="str">
        <f>'Super League - Women'!C14</f>
        <v>Kavallieri</v>
      </c>
      <c r="I199" s="75" t="str">
        <f>'Super League - Women'!D14</f>
        <v>Sliema Wanderers</v>
      </c>
      <c r="J199" s="75">
        <f>'Super League - Women'!E14</f>
        <v>0</v>
      </c>
      <c r="K199" s="75">
        <f>'Super League - Women'!F14</f>
        <v>3</v>
      </c>
      <c r="L199" s="39"/>
      <c r="M199" s="40"/>
      <c r="N199" s="40"/>
      <c r="O199" s="53"/>
      <c r="P199" s="53"/>
      <c r="Q199" s="53"/>
      <c r="R199" s="53"/>
      <c r="S199" s="53"/>
      <c r="T199" s="53"/>
      <c r="U199" s="41"/>
      <c r="V199" s="38"/>
    </row>
    <row r="200" spans="1:22" ht="7.5" customHeight="1">
      <c r="A200" s="36"/>
      <c r="B200" s="37"/>
      <c r="C200" s="58"/>
      <c r="D200" s="48"/>
      <c r="E200" s="37"/>
      <c r="F200" s="42"/>
      <c r="G200" s="42"/>
      <c r="H200" s="42"/>
      <c r="I200" s="42"/>
      <c r="J200" s="42"/>
      <c r="K200" s="42"/>
      <c r="L200" s="39"/>
      <c r="M200" s="40"/>
      <c r="N200" s="40"/>
      <c r="O200" s="53"/>
      <c r="P200" s="53"/>
      <c r="Q200" s="53"/>
      <c r="R200" s="53"/>
      <c r="S200" s="53"/>
      <c r="T200" s="53"/>
      <c r="U200" s="41"/>
      <c r="V200" s="38"/>
    </row>
    <row r="201" spans="1:22" ht="15.75" customHeight="1">
      <c r="A201" s="36"/>
      <c r="B201" s="72" t="s">
        <v>68</v>
      </c>
      <c r="C201" s="73">
        <v>43114</v>
      </c>
      <c r="D201" s="74" t="s">
        <v>73</v>
      </c>
      <c r="E201" s="72" t="s">
        <v>64</v>
      </c>
      <c r="F201" s="75" t="str">
        <f>'Super League - Women'!A15</f>
        <v>SLW-13</v>
      </c>
      <c r="G201" s="75" t="str">
        <f>'Super League - Women'!B15</f>
        <v>2nd Round</v>
      </c>
      <c r="H201" s="75" t="str">
        <f>'Super League - Women'!C15</f>
        <v>Fleur de Lys Royal Panda</v>
      </c>
      <c r="I201" s="75" t="str">
        <f>'Super League - Women'!D15</f>
        <v>Balzan Flyers Crosscraft</v>
      </c>
      <c r="J201" s="75">
        <f>'Super League - Women'!E15</f>
        <v>3</v>
      </c>
      <c r="K201" s="75">
        <f>'Super League - Women'!F15</f>
        <v>1</v>
      </c>
      <c r="L201" s="39"/>
      <c r="M201" s="40"/>
      <c r="N201" s="40"/>
      <c r="O201" s="53"/>
      <c r="P201" s="53"/>
      <c r="Q201" s="53"/>
      <c r="R201" s="53"/>
      <c r="S201" s="53"/>
      <c r="T201" s="53"/>
      <c r="U201" s="41"/>
      <c r="V201" s="38"/>
    </row>
    <row r="202" spans="1:22" ht="15.75" customHeight="1">
      <c r="A202" s="36"/>
      <c r="B202" s="37"/>
      <c r="C202" s="37"/>
      <c r="D202" s="48"/>
      <c r="E202" s="37"/>
      <c r="F202" s="37"/>
      <c r="G202" s="37"/>
      <c r="H202" s="37"/>
      <c r="I202" s="37"/>
      <c r="J202" s="37"/>
      <c r="K202" s="37"/>
      <c r="L202" s="39"/>
      <c r="M202" s="40"/>
      <c r="N202" s="40"/>
      <c r="O202" s="41"/>
      <c r="P202" s="41"/>
      <c r="Q202" s="41"/>
      <c r="R202" s="41"/>
      <c r="S202" s="41"/>
      <c r="T202" s="41"/>
      <c r="U202" s="41"/>
      <c r="V202" s="38"/>
    </row>
    <row r="203" spans="1:22" ht="15.75" customHeight="1">
      <c r="A203" s="89"/>
      <c r="B203" s="90" t="s">
        <v>75</v>
      </c>
      <c r="C203" s="51">
        <v>43119</v>
      </c>
      <c r="D203" s="91" t="s">
        <v>76</v>
      </c>
      <c r="E203" s="90" t="s">
        <v>64</v>
      </c>
      <c r="F203" s="71" t="str">
        <f>'Super League - Men'!A13</f>
        <v>SLM-11</v>
      </c>
      <c r="G203" s="71" t="str">
        <f>'Super League - Men'!B13</f>
        <v>2nd Round</v>
      </c>
      <c r="H203" s="71" t="str">
        <f>'Super League - Men'!C13</f>
        <v>Valletta Mapei</v>
      </c>
      <c r="I203" s="71" t="str">
        <f>'Super League - Men'!D13</f>
        <v>Mgarr Volley</v>
      </c>
      <c r="J203" s="71">
        <f>'Super League - Men'!E13</f>
        <v>3</v>
      </c>
      <c r="K203" s="71">
        <f>'Super League - Men'!F13</f>
        <v>0</v>
      </c>
      <c r="L203" s="100" t="s">
        <v>101</v>
      </c>
      <c r="M203" s="92"/>
      <c r="N203" s="92"/>
      <c r="O203" s="93"/>
      <c r="P203" s="93"/>
      <c r="Q203" s="93"/>
      <c r="R203" s="93"/>
      <c r="S203" s="93"/>
      <c r="T203" s="93"/>
      <c r="U203" s="94"/>
      <c r="V203" s="95"/>
    </row>
    <row r="204" spans="1:22" ht="15.75" customHeight="1">
      <c r="A204" s="36"/>
      <c r="B204" s="37"/>
      <c r="C204" s="37"/>
      <c r="D204" s="48"/>
      <c r="E204" s="37"/>
      <c r="F204" s="37"/>
      <c r="G204" s="37"/>
      <c r="H204" s="37"/>
      <c r="I204" s="37"/>
      <c r="J204" s="37"/>
      <c r="K204" s="37"/>
      <c r="L204" s="39"/>
      <c r="M204" s="40"/>
      <c r="N204" s="40"/>
      <c r="O204" s="41"/>
      <c r="P204" s="41"/>
      <c r="Q204" s="41"/>
      <c r="R204" s="41"/>
      <c r="S204" s="41"/>
      <c r="T204" s="41"/>
      <c r="U204" s="41"/>
      <c r="V204" s="38"/>
    </row>
    <row r="205" spans="1:22" ht="15.75" customHeight="1">
      <c r="A205" s="36"/>
      <c r="B205" s="78" t="s">
        <v>62</v>
      </c>
      <c r="C205" s="79">
        <v>43120</v>
      </c>
      <c r="D205" s="80" t="s">
        <v>66</v>
      </c>
      <c r="E205" s="78" t="s">
        <v>64</v>
      </c>
      <c r="F205" s="82" t="str">
        <f>'Under 18 League - Women'!A12</f>
        <v>18LW-10</v>
      </c>
      <c r="G205" s="82" t="str">
        <f>'Under 18 League - Women'!B12</f>
        <v>4th Round</v>
      </c>
      <c r="H205" s="82" t="str">
        <f>'Under 18 League - Women'!C12</f>
        <v>Swieqi Phoenix</v>
      </c>
      <c r="I205" s="82" t="str">
        <f>'Under 18 League - Women'!D12</f>
        <v>Paola Volley</v>
      </c>
      <c r="J205" s="82">
        <f>'Under 18 League - Women'!E12</f>
        <v>3</v>
      </c>
      <c r="K205" s="82">
        <f>'Under 18 League - Women'!F12</f>
        <v>0</v>
      </c>
      <c r="L205" s="39"/>
      <c r="M205" s="40"/>
      <c r="N205" s="40"/>
      <c r="O205" s="53"/>
      <c r="P205" s="53"/>
      <c r="Q205" s="53"/>
      <c r="R205" s="53"/>
      <c r="S205" s="53"/>
      <c r="T205" s="53"/>
      <c r="U205" s="41"/>
      <c r="V205" s="38"/>
    </row>
    <row r="206" spans="1:22" ht="7.5" customHeight="1">
      <c r="A206" s="36"/>
      <c r="B206" s="37"/>
      <c r="C206" s="58"/>
      <c r="D206" s="48"/>
      <c r="E206" s="37"/>
      <c r="F206" s="42"/>
      <c r="G206" s="42"/>
      <c r="H206" s="42"/>
      <c r="I206" s="42"/>
      <c r="J206" s="42"/>
      <c r="K206" s="42"/>
      <c r="L206" s="39"/>
      <c r="M206" s="40"/>
      <c r="N206" s="40"/>
      <c r="O206" s="53"/>
      <c r="P206" s="53"/>
      <c r="Q206" s="53"/>
      <c r="R206" s="53"/>
      <c r="S206" s="53"/>
      <c r="T206" s="53"/>
      <c r="U206" s="41"/>
      <c r="V206" s="38"/>
    </row>
    <row r="207" spans="1:22" ht="15.75" customHeight="1">
      <c r="A207" s="36"/>
      <c r="B207" s="72" t="s">
        <v>62</v>
      </c>
      <c r="C207" s="73">
        <v>43120</v>
      </c>
      <c r="D207" s="74" t="s">
        <v>67</v>
      </c>
      <c r="E207" s="72" t="s">
        <v>64</v>
      </c>
      <c r="F207" s="75" t="str">
        <f>'Super League - Women'!A16</f>
        <v>SLW-14</v>
      </c>
      <c r="G207" s="75" t="str">
        <f>'Super League - Women'!B16</f>
        <v>2nd Round</v>
      </c>
      <c r="H207" s="75" t="str">
        <f>'Super League - Women'!C16</f>
        <v>Sliema Wanderers</v>
      </c>
      <c r="I207" s="75" t="str">
        <f>'Super League - Women'!D16</f>
        <v>Paola Volley</v>
      </c>
      <c r="J207" s="75">
        <f>'Super League - Women'!E16</f>
        <v>2</v>
      </c>
      <c r="K207" s="75">
        <f>'Super League - Women'!F16</f>
        <v>3</v>
      </c>
      <c r="L207" s="39"/>
      <c r="M207" s="40"/>
      <c r="N207" s="40"/>
      <c r="O207" s="53"/>
      <c r="P207" s="53"/>
      <c r="Q207" s="53"/>
      <c r="R207" s="53"/>
      <c r="S207" s="53"/>
      <c r="T207" s="53"/>
      <c r="U207" s="41"/>
      <c r="V207" s="38"/>
    </row>
    <row r="208" spans="1:22" ht="7.5" customHeight="1">
      <c r="A208" s="36"/>
      <c r="B208" s="37"/>
      <c r="C208" s="58"/>
      <c r="D208" s="48"/>
      <c r="E208" s="37"/>
      <c r="F208" s="42"/>
      <c r="G208" s="42"/>
      <c r="H208" s="42"/>
      <c r="I208" s="42"/>
      <c r="J208" s="42"/>
      <c r="K208" s="42"/>
      <c r="L208" s="39"/>
      <c r="M208" s="40"/>
      <c r="N208" s="40"/>
      <c r="O208" s="53"/>
      <c r="P208" s="53"/>
      <c r="Q208" s="53"/>
      <c r="R208" s="53"/>
      <c r="S208" s="53"/>
      <c r="T208" s="53"/>
      <c r="U208" s="41"/>
      <c r="V208" s="38"/>
    </row>
    <row r="209" spans="1:22" ht="15.75" customHeight="1">
      <c r="A209" s="36"/>
      <c r="B209" s="72" t="s">
        <v>62</v>
      </c>
      <c r="C209" s="73">
        <v>43120</v>
      </c>
      <c r="D209" s="74" t="s">
        <v>73</v>
      </c>
      <c r="E209" s="72" t="s">
        <v>64</v>
      </c>
      <c r="F209" s="75" t="str">
        <f>'Super League - Women'!A17</f>
        <v>SLW-15</v>
      </c>
      <c r="G209" s="75" t="str">
        <f>'Super League - Women'!B17</f>
        <v>2nd Round</v>
      </c>
      <c r="H209" s="75" t="str">
        <f>'Super League - Women'!C17</f>
        <v>Fleur de Lys Royal Panda</v>
      </c>
      <c r="I209" s="75" t="str">
        <f>'Super League - Women'!D17</f>
        <v>Kavallieri</v>
      </c>
      <c r="J209" s="75">
        <f>'Super League - Women'!E17</f>
        <v>3</v>
      </c>
      <c r="K209" s="75">
        <f>'Super League - Women'!F17</f>
        <v>0</v>
      </c>
      <c r="L209" s="39"/>
      <c r="M209" s="40"/>
      <c r="N209" s="40"/>
      <c r="O209" s="53"/>
      <c r="P209" s="53"/>
      <c r="Q209" s="53"/>
      <c r="R209" s="53"/>
      <c r="S209" s="53"/>
      <c r="T209" s="53"/>
      <c r="U209" s="41"/>
      <c r="V209" s="38"/>
    </row>
    <row r="210" spans="1:22" ht="15.75" customHeight="1">
      <c r="A210" s="36"/>
      <c r="B210" s="37"/>
      <c r="C210" s="37"/>
      <c r="D210" s="48"/>
      <c r="E210" s="37"/>
      <c r="F210" s="37"/>
      <c r="G210" s="37"/>
      <c r="H210" s="37"/>
      <c r="I210" s="37"/>
      <c r="J210" s="37"/>
      <c r="K210" s="37"/>
      <c r="L210" s="39"/>
      <c r="M210" s="40"/>
      <c r="N210" s="40"/>
      <c r="O210" s="41"/>
      <c r="P210" s="41"/>
      <c r="Q210" s="41"/>
      <c r="R210" s="41"/>
      <c r="S210" s="41"/>
      <c r="T210" s="41"/>
      <c r="U210" s="41"/>
      <c r="V210" s="38"/>
    </row>
    <row r="211" spans="1:26" ht="15.75" customHeight="1">
      <c r="A211" s="36"/>
      <c r="B211" s="101" t="s">
        <v>68</v>
      </c>
      <c r="C211" s="102">
        <v>43121</v>
      </c>
      <c r="D211" s="103" t="s">
        <v>99</v>
      </c>
      <c r="E211" s="101" t="s">
        <v>64</v>
      </c>
      <c r="F211" s="104"/>
      <c r="G211" s="104" t="s">
        <v>97</v>
      </c>
      <c r="H211" s="148" t="s">
        <v>102</v>
      </c>
      <c r="I211" s="142"/>
      <c r="J211" s="142"/>
      <c r="K211" s="143"/>
      <c r="L211" s="39"/>
      <c r="M211" s="40"/>
      <c r="N211" s="40"/>
      <c r="O211" s="53"/>
      <c r="P211" s="53"/>
      <c r="Q211" s="53"/>
      <c r="R211" s="53"/>
      <c r="S211" s="53"/>
      <c r="T211" s="53"/>
      <c r="U211" s="41"/>
      <c r="V211" s="38"/>
      <c r="W211" s="38"/>
      <c r="X211" s="38"/>
      <c r="Y211" s="38"/>
      <c r="Z211" s="38"/>
    </row>
    <row r="212" spans="1:26" ht="7.5" customHeight="1">
      <c r="A212" s="36"/>
      <c r="B212" s="37"/>
      <c r="C212" s="58"/>
      <c r="D212" s="48"/>
      <c r="E212" s="37"/>
      <c r="F212" s="42"/>
      <c r="G212" s="42"/>
      <c r="H212" s="42"/>
      <c r="I212" s="42"/>
      <c r="J212" s="42"/>
      <c r="K212" s="42"/>
      <c r="L212" s="39"/>
      <c r="M212" s="40"/>
      <c r="N212" s="40"/>
      <c r="O212" s="53"/>
      <c r="P212" s="53"/>
      <c r="Q212" s="53"/>
      <c r="R212" s="53"/>
      <c r="S212" s="53"/>
      <c r="T212" s="53"/>
      <c r="U212" s="41"/>
      <c r="V212" s="38"/>
      <c r="W212" s="38"/>
      <c r="X212" s="38"/>
      <c r="Y212" s="38"/>
      <c r="Z212" s="38"/>
    </row>
    <row r="213" spans="1:22" ht="15.75" customHeight="1">
      <c r="A213" s="36"/>
      <c r="B213" s="67" t="s">
        <v>68</v>
      </c>
      <c r="C213" s="68">
        <v>43121</v>
      </c>
      <c r="D213" s="69" t="s">
        <v>66</v>
      </c>
      <c r="E213" s="67" t="s">
        <v>64</v>
      </c>
      <c r="F213" s="70" t="str">
        <f>'1st Division League - Women'!A17</f>
        <v>1LW-15</v>
      </c>
      <c r="G213" s="70" t="str">
        <f>'1st Division League - Women'!B17</f>
        <v>1st Round</v>
      </c>
      <c r="H213" s="70" t="str">
        <f>'1st Division League - Women'!C17</f>
        <v>Mellieha</v>
      </c>
      <c r="I213" s="70" t="str">
        <f>'1st Division League - Women'!D17</f>
        <v>Balzan Flyers</v>
      </c>
      <c r="J213" s="70">
        <f>'1st Division League - Women'!E17</f>
        <v>0</v>
      </c>
      <c r="K213" s="70">
        <f>'1st Division League - Women'!F17</f>
        <v>3</v>
      </c>
      <c r="L213" s="39"/>
      <c r="M213" s="40"/>
      <c r="N213" s="40"/>
      <c r="O213" s="53"/>
      <c r="P213" s="53"/>
      <c r="Q213" s="53"/>
      <c r="R213" s="53"/>
      <c r="S213" s="53"/>
      <c r="T213" s="53"/>
      <c r="U213" s="41"/>
      <c r="V213" s="38"/>
    </row>
    <row r="214" spans="1:22" ht="7.5" customHeight="1">
      <c r="A214" s="36"/>
      <c r="B214" s="37"/>
      <c r="C214" s="58"/>
      <c r="D214" s="48"/>
      <c r="E214" s="37"/>
      <c r="F214" s="42"/>
      <c r="G214" s="42"/>
      <c r="H214" s="42"/>
      <c r="I214" s="42"/>
      <c r="J214" s="42"/>
      <c r="K214" s="42"/>
      <c r="L214" s="39"/>
      <c r="M214" s="40"/>
      <c r="N214" s="40"/>
      <c r="O214" s="53"/>
      <c r="P214" s="53"/>
      <c r="Q214" s="53"/>
      <c r="R214" s="53"/>
      <c r="S214" s="53"/>
      <c r="T214" s="53"/>
      <c r="U214" s="41"/>
      <c r="V214" s="38"/>
    </row>
    <row r="215" spans="1:22" ht="15.75" customHeight="1">
      <c r="A215" s="36"/>
      <c r="B215" s="67" t="s">
        <v>68</v>
      </c>
      <c r="C215" s="68">
        <v>43121</v>
      </c>
      <c r="D215" s="69" t="s">
        <v>67</v>
      </c>
      <c r="E215" s="67" t="s">
        <v>64</v>
      </c>
      <c r="F215" s="70" t="str">
        <f>'1st Division League - Women'!A18</f>
        <v>1LW-16</v>
      </c>
      <c r="G215" s="70" t="str">
        <f>'1st Division League - Women'!B18</f>
        <v>1st Round</v>
      </c>
      <c r="H215" s="70" t="str">
        <f>'1st Division League - Women'!C18</f>
        <v>Swieqi Phoenix</v>
      </c>
      <c r="I215" s="70" t="str">
        <f>'1st Division League - Women'!D18</f>
        <v>Birkirkara</v>
      </c>
      <c r="J215" s="70">
        <f>'1st Division League - Women'!E18</f>
        <v>3</v>
      </c>
      <c r="K215" s="70">
        <f>'1st Division League - Women'!F18</f>
        <v>0</v>
      </c>
      <c r="L215" s="39"/>
      <c r="M215" s="40"/>
      <c r="N215" s="40"/>
      <c r="O215" s="53"/>
      <c r="P215" s="53"/>
      <c r="Q215" s="53"/>
      <c r="R215" s="53"/>
      <c r="S215" s="53"/>
      <c r="T215" s="53"/>
      <c r="U215" s="41"/>
      <c r="V215" s="38"/>
    </row>
    <row r="216" spans="1:22" ht="7.5" customHeight="1">
      <c r="A216" s="36"/>
      <c r="B216" s="37"/>
      <c r="C216" s="58"/>
      <c r="D216" s="48"/>
      <c r="E216" s="37"/>
      <c r="F216" s="42"/>
      <c r="G216" s="42"/>
      <c r="H216" s="42"/>
      <c r="I216" s="42"/>
      <c r="J216" s="42"/>
      <c r="K216" s="42"/>
      <c r="L216" s="39"/>
      <c r="M216" s="40"/>
      <c r="N216" s="40"/>
      <c r="O216" s="53"/>
      <c r="P216" s="53"/>
      <c r="Q216" s="53"/>
      <c r="R216" s="53"/>
      <c r="S216" s="53"/>
      <c r="T216" s="53"/>
      <c r="U216" s="41"/>
      <c r="V216" s="38"/>
    </row>
    <row r="217" spans="1:22" ht="15.75" customHeight="1">
      <c r="A217" s="36"/>
      <c r="B217" s="67" t="s">
        <v>68</v>
      </c>
      <c r="C217" s="68">
        <v>43121</v>
      </c>
      <c r="D217" s="69" t="s">
        <v>73</v>
      </c>
      <c r="E217" s="67" t="s">
        <v>64</v>
      </c>
      <c r="F217" s="70" t="str">
        <f>'1st Division League - Women'!A19</f>
        <v>1LW-17</v>
      </c>
      <c r="G217" s="70" t="str">
        <f>'1st Division League - Women'!B19</f>
        <v>1st Round</v>
      </c>
      <c r="H217" s="70" t="str">
        <f>'1st Division League - Women'!C19</f>
        <v>Zabbar St. Patrick's</v>
      </c>
      <c r="I217" s="70" t="str">
        <f>'1st Division League - Women'!D19</f>
        <v>Fleur de Lys Swatch</v>
      </c>
      <c r="J217" s="70">
        <f>'1st Division League - Women'!E19</f>
        <v>0</v>
      </c>
      <c r="K217" s="70">
        <f>'1st Division League - Women'!F19</f>
        <v>3</v>
      </c>
      <c r="L217" s="39"/>
      <c r="M217" s="40"/>
      <c r="N217" s="40"/>
      <c r="O217" s="53"/>
      <c r="P217" s="53"/>
      <c r="Q217" s="53"/>
      <c r="R217" s="53"/>
      <c r="S217" s="53"/>
      <c r="T217" s="53"/>
      <c r="U217" s="41"/>
      <c r="V217" s="38"/>
    </row>
    <row r="218" spans="1:22" ht="15.75" customHeight="1">
      <c r="A218" s="36"/>
      <c r="B218" s="37"/>
      <c r="C218" s="37"/>
      <c r="D218" s="48"/>
      <c r="E218" s="37"/>
      <c r="F218" s="37"/>
      <c r="G218" s="37"/>
      <c r="H218" s="37"/>
      <c r="I218" s="37"/>
      <c r="J218" s="37"/>
      <c r="K218" s="37"/>
      <c r="L218" s="39"/>
      <c r="M218" s="40"/>
      <c r="N218" s="40"/>
      <c r="O218" s="41"/>
      <c r="P218" s="41"/>
      <c r="Q218" s="41"/>
      <c r="R218" s="41"/>
      <c r="S218" s="41"/>
      <c r="T218" s="41"/>
      <c r="U218" s="41"/>
      <c r="V218" s="38"/>
    </row>
    <row r="219" spans="1:22" ht="15.75" customHeight="1">
      <c r="A219" s="89"/>
      <c r="B219" s="90" t="s">
        <v>75</v>
      </c>
      <c r="C219" s="51">
        <v>43126</v>
      </c>
      <c r="D219" s="91" t="s">
        <v>76</v>
      </c>
      <c r="E219" s="90" t="s">
        <v>64</v>
      </c>
      <c r="F219" s="71" t="str">
        <f>'Super League - Men'!A14</f>
        <v>SLM-12</v>
      </c>
      <c r="G219" s="71" t="str">
        <f>'Super League - Men'!B14</f>
        <v>2nd Round</v>
      </c>
      <c r="H219" s="71" t="str">
        <f>'Super League - Men'!C14</f>
        <v>Aloysians Ice</v>
      </c>
      <c r="I219" s="71" t="str">
        <f>'Super League - Men'!D14</f>
        <v>Aloysians Fire</v>
      </c>
      <c r="J219" s="105">
        <v>3</v>
      </c>
      <c r="K219" s="105">
        <v>0</v>
      </c>
      <c r="L219" s="106"/>
      <c r="M219" s="92"/>
      <c r="N219" s="92"/>
      <c r="O219" s="93"/>
      <c r="P219" s="93"/>
      <c r="Q219" s="93"/>
      <c r="R219" s="93"/>
      <c r="S219" s="93"/>
      <c r="T219" s="93"/>
      <c r="U219" s="94"/>
      <c r="V219" s="95"/>
    </row>
    <row r="220" spans="1:22" ht="15.75" customHeight="1">
      <c r="A220" s="36"/>
      <c r="B220" s="37"/>
      <c r="C220" s="37"/>
      <c r="D220" s="48"/>
      <c r="E220" s="37"/>
      <c r="F220" s="37"/>
      <c r="G220" s="37"/>
      <c r="H220" s="37"/>
      <c r="I220" s="37"/>
      <c r="J220" s="37"/>
      <c r="K220" s="37"/>
      <c r="L220" s="39"/>
      <c r="M220" s="40"/>
      <c r="N220" s="40"/>
      <c r="O220" s="41"/>
      <c r="P220" s="41"/>
      <c r="Q220" s="41"/>
      <c r="R220" s="41"/>
      <c r="S220" s="41"/>
      <c r="T220" s="41"/>
      <c r="U220" s="41"/>
      <c r="V220" s="38"/>
    </row>
    <row r="221" spans="1:22" ht="15.75" customHeight="1">
      <c r="A221" s="36"/>
      <c r="B221" s="67" t="s">
        <v>62</v>
      </c>
      <c r="C221" s="68">
        <v>43127</v>
      </c>
      <c r="D221" s="69" t="s">
        <v>66</v>
      </c>
      <c r="E221" s="67" t="s">
        <v>64</v>
      </c>
      <c r="F221" s="70" t="str">
        <f>'1st Division League - Women'!A20</f>
        <v>1LW-18</v>
      </c>
      <c r="G221" s="70" t="str">
        <f>'1st Division League - Women'!B20</f>
        <v>1st Round</v>
      </c>
      <c r="H221" s="70" t="str">
        <f>'1st Division League - Women'!C20</f>
        <v>Balzan Flyers</v>
      </c>
      <c r="I221" s="70" t="str">
        <f>'1st Division League - Women'!D20</f>
        <v>Mgarr Volley</v>
      </c>
      <c r="J221" s="107">
        <v>0</v>
      </c>
      <c r="K221" s="107">
        <v>3</v>
      </c>
      <c r="L221" s="39"/>
      <c r="M221" s="40"/>
      <c r="N221" s="40"/>
      <c r="O221" s="53"/>
      <c r="P221" s="53"/>
      <c r="Q221" s="53"/>
      <c r="R221" s="53"/>
      <c r="S221" s="53"/>
      <c r="T221" s="53"/>
      <c r="U221" s="41"/>
      <c r="V221" s="38"/>
    </row>
    <row r="222" spans="1:22" ht="7.5" customHeight="1">
      <c r="A222" s="36"/>
      <c r="B222" s="37"/>
      <c r="C222" s="58"/>
      <c r="D222" s="48"/>
      <c r="E222" s="37"/>
      <c r="F222" s="42"/>
      <c r="G222" s="42"/>
      <c r="H222" s="42"/>
      <c r="I222" s="42"/>
      <c r="J222" s="42"/>
      <c r="K222" s="42"/>
      <c r="L222" s="39"/>
      <c r="M222" s="40"/>
      <c r="N222" s="40"/>
      <c r="O222" s="53"/>
      <c r="P222" s="53"/>
      <c r="Q222" s="53"/>
      <c r="R222" s="53"/>
      <c r="S222" s="53"/>
      <c r="T222" s="53"/>
      <c r="U222" s="41"/>
      <c r="V222" s="38"/>
    </row>
    <row r="223" spans="1:22" ht="15.75" customHeight="1">
      <c r="A223" s="36"/>
      <c r="B223" s="67" t="s">
        <v>62</v>
      </c>
      <c r="C223" s="68">
        <v>43127</v>
      </c>
      <c r="D223" s="69" t="s">
        <v>67</v>
      </c>
      <c r="E223" s="67" t="s">
        <v>64</v>
      </c>
      <c r="F223" s="70" t="str">
        <f>'1st Division League - Women'!A21</f>
        <v>1LW-19</v>
      </c>
      <c r="G223" s="70" t="str">
        <f>'1st Division League - Women'!B21</f>
        <v>1st Round</v>
      </c>
      <c r="H223" s="70" t="str">
        <f>'1st Division League - Women'!C21</f>
        <v>Zabbar St. Patrick's</v>
      </c>
      <c r="I223" s="70" t="str">
        <f>'1st Division League - Women'!D21</f>
        <v>Swieqi Phoenix</v>
      </c>
      <c r="J223" s="107">
        <v>0</v>
      </c>
      <c r="K223" s="107">
        <v>3</v>
      </c>
      <c r="L223" s="39"/>
      <c r="M223" s="40"/>
      <c r="N223" s="40"/>
      <c r="O223" s="53"/>
      <c r="P223" s="53"/>
      <c r="Q223" s="53"/>
      <c r="R223" s="53"/>
      <c r="S223" s="53"/>
      <c r="T223" s="53"/>
      <c r="U223" s="41"/>
      <c r="V223" s="38"/>
    </row>
    <row r="224" spans="1:22" ht="7.5" customHeight="1">
      <c r="A224" s="36"/>
      <c r="B224" s="37"/>
      <c r="C224" s="58"/>
      <c r="D224" s="48"/>
      <c r="E224" s="37"/>
      <c r="F224" s="42"/>
      <c r="G224" s="42"/>
      <c r="H224" s="42"/>
      <c r="I224" s="42"/>
      <c r="J224" s="42"/>
      <c r="K224" s="42"/>
      <c r="L224" s="39"/>
      <c r="M224" s="40"/>
      <c r="N224" s="40"/>
      <c r="O224" s="53"/>
      <c r="P224" s="53"/>
      <c r="Q224" s="53"/>
      <c r="R224" s="53"/>
      <c r="S224" s="53"/>
      <c r="T224" s="53"/>
      <c r="U224" s="41"/>
      <c r="V224" s="38"/>
    </row>
    <row r="225" spans="1:22" ht="15.75" customHeight="1">
      <c r="A225" s="36"/>
      <c r="B225" s="67" t="s">
        <v>62</v>
      </c>
      <c r="C225" s="68">
        <v>43127</v>
      </c>
      <c r="D225" s="69" t="s">
        <v>73</v>
      </c>
      <c r="E225" s="67" t="s">
        <v>64</v>
      </c>
      <c r="F225" s="70" t="str">
        <f>'1st Division League - Women'!A22</f>
        <v>1LW-20</v>
      </c>
      <c r="G225" s="70" t="str">
        <f>'1st Division League - Women'!B22</f>
        <v>1st Round</v>
      </c>
      <c r="H225" s="70" t="str">
        <f>'1st Division League - Women'!C22</f>
        <v>Birkirkara</v>
      </c>
      <c r="I225" s="70" t="str">
        <f>'1st Division League - Women'!D22</f>
        <v>Fleur de Lys Swatch</v>
      </c>
      <c r="J225" s="107">
        <v>3</v>
      </c>
      <c r="K225" s="107">
        <v>2</v>
      </c>
      <c r="L225" s="39"/>
      <c r="M225" s="40"/>
      <c r="N225" s="40"/>
      <c r="O225" s="53"/>
      <c r="P225" s="53"/>
      <c r="Q225" s="53"/>
      <c r="R225" s="53"/>
      <c r="S225" s="53"/>
      <c r="T225" s="53"/>
      <c r="U225" s="41"/>
      <c r="V225" s="38"/>
    </row>
    <row r="226" spans="1:22" ht="15.75" customHeight="1">
      <c r="A226" s="36"/>
      <c r="B226" s="37"/>
      <c r="C226" s="37"/>
      <c r="D226" s="48"/>
      <c r="E226" s="37"/>
      <c r="F226" s="37"/>
      <c r="G226" s="37"/>
      <c r="H226" s="37"/>
      <c r="I226" s="37"/>
      <c r="J226" s="37"/>
      <c r="K226" s="37"/>
      <c r="L226" s="39"/>
      <c r="M226" s="40"/>
      <c r="N226" s="40"/>
      <c r="O226" s="41"/>
      <c r="P226" s="41"/>
      <c r="Q226" s="41"/>
      <c r="R226" s="41"/>
      <c r="S226" s="41"/>
      <c r="T226" s="41"/>
      <c r="U226" s="41"/>
      <c r="V226" s="38"/>
    </row>
    <row r="227" spans="1:22" ht="15.75" customHeight="1">
      <c r="A227" s="36"/>
      <c r="B227" s="78" t="s">
        <v>68</v>
      </c>
      <c r="C227" s="79">
        <v>43128</v>
      </c>
      <c r="D227" s="80" t="s">
        <v>66</v>
      </c>
      <c r="E227" s="78" t="s">
        <v>64</v>
      </c>
      <c r="F227" s="82" t="str">
        <f>'Under 18 League - Women'!A13</f>
        <v>18LW-11</v>
      </c>
      <c r="G227" s="82" t="str">
        <f>'Under 18 League - Women'!B13</f>
        <v>4th Round</v>
      </c>
      <c r="H227" s="82" t="str">
        <f>'Under 18 League - Women'!C13</f>
        <v>Balzan Flyers</v>
      </c>
      <c r="I227" s="82" t="str">
        <f>'Under 18 League - Women'!D13</f>
        <v>Swieqi Phoenix</v>
      </c>
      <c r="J227" s="108">
        <v>0</v>
      </c>
      <c r="K227" s="108">
        <v>3</v>
      </c>
      <c r="L227" s="39"/>
      <c r="M227" s="40"/>
      <c r="N227" s="40"/>
      <c r="O227" s="53"/>
      <c r="P227" s="53"/>
      <c r="Q227" s="53"/>
      <c r="R227" s="53"/>
      <c r="S227" s="53"/>
      <c r="T227" s="53"/>
      <c r="U227" s="41"/>
      <c r="V227" s="38"/>
    </row>
    <row r="228" spans="1:22" ht="7.5" customHeight="1">
      <c r="A228" s="36"/>
      <c r="B228" s="37"/>
      <c r="C228" s="58"/>
      <c r="D228" s="48"/>
      <c r="E228" s="37"/>
      <c r="F228" s="42"/>
      <c r="G228" s="42"/>
      <c r="H228" s="42"/>
      <c r="I228" s="42"/>
      <c r="J228" s="42"/>
      <c r="K228" s="42"/>
      <c r="L228" s="39"/>
      <c r="M228" s="40"/>
      <c r="N228" s="40"/>
      <c r="O228" s="53"/>
      <c r="P228" s="53"/>
      <c r="Q228" s="53"/>
      <c r="R228" s="53"/>
      <c r="S228" s="53"/>
      <c r="T228" s="53"/>
      <c r="U228" s="41"/>
      <c r="V228" s="38"/>
    </row>
    <row r="229" spans="1:22" ht="15.75" customHeight="1">
      <c r="A229" s="36"/>
      <c r="B229" s="72" t="s">
        <v>68</v>
      </c>
      <c r="C229" s="73">
        <v>43128</v>
      </c>
      <c r="D229" s="74" t="s">
        <v>67</v>
      </c>
      <c r="E229" s="72" t="s">
        <v>64</v>
      </c>
      <c r="F229" s="75" t="str">
        <f>'Super League - Women'!A18</f>
        <v>SLW-16</v>
      </c>
      <c r="G229" s="75" t="str">
        <f>'Super League - Women'!B18</f>
        <v>2nd Round</v>
      </c>
      <c r="H229" s="75" t="str">
        <f>'Super League - Women'!C18</f>
        <v>Balzan Flyers Crosscraft</v>
      </c>
      <c r="I229" s="75" t="str">
        <f>'Super League - Women'!D18</f>
        <v>Paola Volley</v>
      </c>
      <c r="J229" s="109">
        <v>0</v>
      </c>
      <c r="K229" s="109">
        <v>3</v>
      </c>
      <c r="L229" s="39"/>
      <c r="M229" s="40"/>
      <c r="N229" s="40"/>
      <c r="O229" s="53"/>
      <c r="P229" s="53"/>
      <c r="Q229" s="53"/>
      <c r="R229" s="53"/>
      <c r="S229" s="53"/>
      <c r="T229" s="53"/>
      <c r="U229" s="41"/>
      <c r="V229" s="38"/>
    </row>
    <row r="230" spans="1:22" ht="7.5" customHeight="1">
      <c r="A230" s="36"/>
      <c r="B230" s="37"/>
      <c r="C230" s="58"/>
      <c r="D230" s="48"/>
      <c r="E230" s="37"/>
      <c r="F230" s="42"/>
      <c r="G230" s="42"/>
      <c r="H230" s="42"/>
      <c r="I230" s="42"/>
      <c r="J230" s="42"/>
      <c r="K230" s="42"/>
      <c r="L230" s="39"/>
      <c r="M230" s="40"/>
      <c r="N230" s="40"/>
      <c r="O230" s="53"/>
      <c r="P230" s="53"/>
      <c r="Q230" s="53"/>
      <c r="R230" s="53"/>
      <c r="S230" s="53"/>
      <c r="T230" s="53"/>
      <c r="U230" s="41"/>
      <c r="V230" s="38"/>
    </row>
    <row r="231" spans="1:22" ht="15.75" customHeight="1">
      <c r="A231" s="36"/>
      <c r="B231" s="72" t="s">
        <v>68</v>
      </c>
      <c r="C231" s="73">
        <v>43128</v>
      </c>
      <c r="D231" s="74" t="s">
        <v>73</v>
      </c>
      <c r="E231" s="72" t="s">
        <v>64</v>
      </c>
      <c r="F231" s="75" t="str">
        <f>'Super League - Women'!A19</f>
        <v>SLW-17</v>
      </c>
      <c r="G231" s="75" t="str">
        <f>'Super League - Women'!B19</f>
        <v>2nd Round</v>
      </c>
      <c r="H231" s="75" t="str">
        <f>'Super League - Women'!C19</f>
        <v>Sliema Wanderers</v>
      </c>
      <c r="I231" s="75" t="str">
        <f>'Super League - Women'!D19</f>
        <v>Fleur de Lys Royal Panda</v>
      </c>
      <c r="J231" s="109">
        <v>1</v>
      </c>
      <c r="K231" s="109">
        <v>3</v>
      </c>
      <c r="L231" s="39"/>
      <c r="M231" s="40"/>
      <c r="N231" s="40"/>
      <c r="O231" s="53"/>
      <c r="P231" s="53"/>
      <c r="Q231" s="53"/>
      <c r="R231" s="53"/>
      <c r="S231" s="53"/>
      <c r="T231" s="53"/>
      <c r="U231" s="41"/>
      <c r="V231" s="38"/>
    </row>
    <row r="232" spans="1:22" ht="15.75" customHeight="1">
      <c r="A232" s="36"/>
      <c r="B232" s="37"/>
      <c r="C232" s="37"/>
      <c r="D232" s="48"/>
      <c r="E232" s="37"/>
      <c r="F232" s="37"/>
      <c r="G232" s="37"/>
      <c r="H232" s="37"/>
      <c r="I232" s="37"/>
      <c r="J232" s="37"/>
      <c r="K232" s="37"/>
      <c r="L232" s="39"/>
      <c r="M232" s="40"/>
      <c r="N232" s="40"/>
      <c r="O232" s="41"/>
      <c r="P232" s="41"/>
      <c r="Q232" s="41"/>
      <c r="R232" s="41"/>
      <c r="S232" s="41"/>
      <c r="T232" s="41"/>
      <c r="U232" s="41"/>
      <c r="V232" s="38"/>
    </row>
    <row r="233" spans="1:22" ht="26.25" customHeight="1">
      <c r="A233" s="49"/>
      <c r="B233" s="138" t="s">
        <v>103</v>
      </c>
      <c r="C233" s="139"/>
      <c r="D233" s="139"/>
      <c r="E233" s="139"/>
      <c r="F233" s="139"/>
      <c r="G233" s="139"/>
      <c r="H233" s="139"/>
      <c r="I233" s="139"/>
      <c r="J233" s="139"/>
      <c r="K233" s="140"/>
      <c r="L233" s="39"/>
      <c r="M233" s="40"/>
      <c r="N233" s="40"/>
      <c r="O233" s="41"/>
      <c r="P233" s="41"/>
      <c r="Q233" s="41"/>
      <c r="R233" s="41"/>
      <c r="S233" s="41"/>
      <c r="T233" s="41"/>
      <c r="U233" s="41"/>
      <c r="V233" s="38"/>
    </row>
    <row r="234" spans="1:22" ht="15.75" customHeight="1">
      <c r="A234" s="36"/>
      <c r="B234" s="37"/>
      <c r="C234" s="37"/>
      <c r="D234" s="48"/>
      <c r="E234" s="37"/>
      <c r="F234" s="37"/>
      <c r="G234" s="37"/>
      <c r="H234" s="37"/>
      <c r="I234" s="48"/>
      <c r="J234" s="37"/>
      <c r="K234" s="37"/>
      <c r="L234" s="39"/>
      <c r="M234" s="40"/>
      <c r="N234" s="40"/>
      <c r="O234" s="41"/>
      <c r="P234" s="41"/>
      <c r="Q234" s="41"/>
      <c r="R234" s="41"/>
      <c r="S234" s="41"/>
      <c r="T234" s="41"/>
      <c r="U234" s="41"/>
      <c r="V234" s="38"/>
    </row>
    <row r="235" spans="1:22" ht="15.75" customHeight="1">
      <c r="A235" s="36"/>
      <c r="B235" s="67" t="s">
        <v>62</v>
      </c>
      <c r="C235" s="68">
        <v>43134</v>
      </c>
      <c r="D235" s="69" t="s">
        <v>66</v>
      </c>
      <c r="E235" s="67" t="s">
        <v>64</v>
      </c>
      <c r="F235" s="70" t="str">
        <f>'1st Division League - Women'!A24</f>
        <v>1LW-22</v>
      </c>
      <c r="G235" s="70" t="str">
        <f>'1st Division League - Women'!B24</f>
        <v>2nd Round</v>
      </c>
      <c r="H235" s="70" t="str">
        <f>'1st Division League - Women'!C24</f>
        <v>Balzan Flyers</v>
      </c>
      <c r="I235" s="70" t="str">
        <f>'1st Division League - Women'!D24</f>
        <v>Zabbar St. Patrick's</v>
      </c>
      <c r="J235" s="70">
        <f>'1st Division League - Women'!E24</f>
        <v>3</v>
      </c>
      <c r="K235" s="70">
        <f>'1st Division League - Women'!F24</f>
        <v>1</v>
      </c>
      <c r="L235" s="39"/>
      <c r="M235" s="40"/>
      <c r="N235" s="40"/>
      <c r="O235" s="53"/>
      <c r="P235" s="53"/>
      <c r="Q235" s="53"/>
      <c r="R235" s="53"/>
      <c r="S235" s="53"/>
      <c r="T235" s="53"/>
      <c r="U235" s="41"/>
      <c r="V235" s="38"/>
    </row>
    <row r="236" spans="1:22" ht="7.5" customHeight="1">
      <c r="A236" s="36"/>
      <c r="B236" s="37"/>
      <c r="C236" s="58"/>
      <c r="D236" s="48"/>
      <c r="E236" s="37"/>
      <c r="F236" s="42"/>
      <c r="G236" s="42"/>
      <c r="H236" s="42"/>
      <c r="I236" s="42"/>
      <c r="J236" s="42"/>
      <c r="K236" s="42"/>
      <c r="L236" s="39"/>
      <c r="M236" s="40"/>
      <c r="N236" s="40"/>
      <c r="O236" s="53"/>
      <c r="P236" s="53"/>
      <c r="Q236" s="53"/>
      <c r="R236" s="53"/>
      <c r="S236" s="53"/>
      <c r="T236" s="53"/>
      <c r="U236" s="41"/>
      <c r="V236" s="38"/>
    </row>
    <row r="237" spans="1:22" ht="15.75" customHeight="1">
      <c r="A237" s="36"/>
      <c r="B237" s="67" t="s">
        <v>62</v>
      </c>
      <c r="C237" s="68">
        <v>43134</v>
      </c>
      <c r="D237" s="69" t="s">
        <v>67</v>
      </c>
      <c r="E237" s="67" t="s">
        <v>64</v>
      </c>
      <c r="F237" s="70" t="str">
        <f>'1st Division League - Women'!A25</f>
        <v>1LW-23</v>
      </c>
      <c r="G237" s="70" t="str">
        <f>'1st Division League - Women'!B25</f>
        <v>2nd Round</v>
      </c>
      <c r="H237" s="70" t="str">
        <f>'1st Division League - Women'!C25</f>
        <v>Mellieha</v>
      </c>
      <c r="I237" s="70" t="str">
        <f>'1st Division League - Women'!D25</f>
        <v>Birkirkara</v>
      </c>
      <c r="J237" s="70">
        <f>'1st Division League - Women'!E25</f>
        <v>0</v>
      </c>
      <c r="K237" s="70">
        <f>'1st Division League - Women'!F25</f>
        <v>0</v>
      </c>
      <c r="L237" s="76" t="s">
        <v>79</v>
      </c>
      <c r="M237" s="40"/>
      <c r="N237" s="40"/>
      <c r="O237" s="53"/>
      <c r="P237" s="53"/>
      <c r="Q237" s="53"/>
      <c r="R237" s="53"/>
      <c r="S237" s="53"/>
      <c r="T237" s="53"/>
      <c r="U237" s="41"/>
      <c r="V237" s="38"/>
    </row>
    <row r="238" spans="1:22" ht="7.5" customHeight="1">
      <c r="A238" s="36"/>
      <c r="B238" s="37"/>
      <c r="C238" s="58"/>
      <c r="D238" s="48"/>
      <c r="E238" s="37"/>
      <c r="F238" s="42"/>
      <c r="G238" s="42"/>
      <c r="H238" s="42"/>
      <c r="I238" s="42"/>
      <c r="J238" s="42"/>
      <c r="K238" s="42"/>
      <c r="L238" s="39"/>
      <c r="M238" s="40"/>
      <c r="N238" s="40"/>
      <c r="O238" s="53"/>
      <c r="P238" s="53"/>
      <c r="Q238" s="53"/>
      <c r="R238" s="53"/>
      <c r="S238" s="53"/>
      <c r="T238" s="53"/>
      <c r="U238" s="41"/>
      <c r="V238" s="38"/>
    </row>
    <row r="239" spans="1:22" ht="15.75" customHeight="1">
      <c r="A239" s="36"/>
      <c r="B239" s="67" t="s">
        <v>62</v>
      </c>
      <c r="C239" s="68">
        <v>43134</v>
      </c>
      <c r="D239" s="69" t="s">
        <v>73</v>
      </c>
      <c r="E239" s="67" t="s">
        <v>64</v>
      </c>
      <c r="F239" s="70" t="str">
        <f>'1st Division League - Women'!A26</f>
        <v>1LW-24</v>
      </c>
      <c r="G239" s="70" t="str">
        <f>'1st Division League - Women'!B26</f>
        <v>2nd Round</v>
      </c>
      <c r="H239" s="70" t="str">
        <f>'1st Division League - Women'!C26</f>
        <v>Mgarr Volley</v>
      </c>
      <c r="I239" s="70" t="str">
        <f>'1st Division League - Women'!D26</f>
        <v>Fleur de Lys Swatch</v>
      </c>
      <c r="J239" s="70">
        <f>'1st Division League - Women'!E26</f>
        <v>0</v>
      </c>
      <c r="K239" s="70">
        <f>'1st Division League - Women'!F26</f>
        <v>3</v>
      </c>
      <c r="L239" s="39"/>
      <c r="M239" s="40"/>
      <c r="N239" s="40"/>
      <c r="O239" s="53"/>
      <c r="P239" s="53"/>
      <c r="Q239" s="53"/>
      <c r="R239" s="53"/>
      <c r="S239" s="53"/>
      <c r="T239" s="53"/>
      <c r="U239" s="41"/>
      <c r="V239" s="38"/>
    </row>
    <row r="240" spans="1:22" ht="15.75" customHeight="1">
      <c r="A240" s="36"/>
      <c r="B240" s="37"/>
      <c r="C240" s="37"/>
      <c r="D240" s="48"/>
      <c r="E240" s="37"/>
      <c r="F240" s="37"/>
      <c r="G240" s="37"/>
      <c r="H240" s="37"/>
      <c r="I240" s="37"/>
      <c r="J240" s="37"/>
      <c r="K240" s="37"/>
      <c r="L240" s="39"/>
      <c r="M240" s="40"/>
      <c r="N240" s="40"/>
      <c r="O240" s="41"/>
      <c r="P240" s="41"/>
      <c r="Q240" s="41"/>
      <c r="R240" s="41"/>
      <c r="S240" s="41"/>
      <c r="T240" s="41"/>
      <c r="U240" s="41"/>
      <c r="V240" s="38"/>
    </row>
    <row r="241" spans="1:22" ht="15.75" customHeight="1">
      <c r="A241" s="36"/>
      <c r="B241" s="72" t="s">
        <v>68</v>
      </c>
      <c r="C241" s="73">
        <v>43135</v>
      </c>
      <c r="D241" s="74" t="s">
        <v>66</v>
      </c>
      <c r="E241" s="72" t="s">
        <v>64</v>
      </c>
      <c r="F241" s="75" t="str">
        <f>'Super League - Women'!A22</f>
        <v>SLW-20</v>
      </c>
      <c r="G241" s="75" t="str">
        <f>'Super League - Women'!B22</f>
        <v>2nd Round</v>
      </c>
      <c r="H241" s="75" t="str">
        <f>'Super League - Women'!C22</f>
        <v>Balzan Flyers Crosscraft</v>
      </c>
      <c r="I241" s="75" t="str">
        <f>'Super League - Women'!D22</f>
        <v>Sliema Wanderers</v>
      </c>
      <c r="J241" s="109">
        <v>0</v>
      </c>
      <c r="K241" s="109">
        <v>3</v>
      </c>
      <c r="L241" s="39"/>
      <c r="M241" s="40"/>
      <c r="N241" s="40"/>
      <c r="O241" s="53"/>
      <c r="P241" s="53"/>
      <c r="Q241" s="53"/>
      <c r="R241" s="53"/>
      <c r="S241" s="53"/>
      <c r="T241" s="53"/>
      <c r="U241" s="41"/>
      <c r="V241" s="38"/>
    </row>
    <row r="242" spans="1:22" ht="7.5" customHeight="1">
      <c r="A242" s="36"/>
      <c r="B242" s="37"/>
      <c r="C242" s="58"/>
      <c r="D242" s="48"/>
      <c r="E242" s="37"/>
      <c r="F242" s="42"/>
      <c r="G242" s="42"/>
      <c r="H242" s="42"/>
      <c r="I242" s="42"/>
      <c r="J242" s="42"/>
      <c r="K242" s="42"/>
      <c r="L242" s="39"/>
      <c r="M242" s="40"/>
      <c r="N242" s="40"/>
      <c r="O242" s="53"/>
      <c r="P242" s="53"/>
      <c r="Q242" s="53"/>
      <c r="R242" s="53"/>
      <c r="S242" s="53"/>
      <c r="T242" s="53"/>
      <c r="U242" s="41"/>
      <c r="V242" s="38"/>
    </row>
    <row r="243" spans="1:22" ht="15.75" customHeight="1">
      <c r="A243" s="36"/>
      <c r="B243" s="72" t="s">
        <v>68</v>
      </c>
      <c r="C243" s="73">
        <v>43135</v>
      </c>
      <c r="D243" s="74" t="s">
        <v>67</v>
      </c>
      <c r="E243" s="72" t="s">
        <v>64</v>
      </c>
      <c r="F243" s="75" t="str">
        <f>'Super League - Women'!A21</f>
        <v>SLW-19</v>
      </c>
      <c r="G243" s="75" t="str">
        <f>'Super League - Women'!B21</f>
        <v>2nd Round</v>
      </c>
      <c r="H243" s="75" t="str">
        <f>'Super League - Women'!C21</f>
        <v>Paola Volley</v>
      </c>
      <c r="I243" s="75" t="str">
        <f>'Super League - Women'!D21</f>
        <v>Kavallieri</v>
      </c>
      <c r="J243" s="109">
        <v>3</v>
      </c>
      <c r="K243" s="109">
        <v>0</v>
      </c>
      <c r="L243" s="39"/>
      <c r="M243" s="40"/>
      <c r="N243" s="40"/>
      <c r="O243" s="53"/>
      <c r="P243" s="53"/>
      <c r="Q243" s="53"/>
      <c r="R243" s="53"/>
      <c r="S243" s="53"/>
      <c r="T243" s="53"/>
      <c r="U243" s="41"/>
      <c r="V243" s="38"/>
    </row>
    <row r="244" spans="1:22" ht="7.5" customHeight="1">
      <c r="A244" s="36"/>
      <c r="B244" s="37"/>
      <c r="C244" s="58"/>
      <c r="D244" s="48"/>
      <c r="E244" s="37"/>
      <c r="F244" s="42"/>
      <c r="G244" s="42"/>
      <c r="H244" s="42"/>
      <c r="I244" s="42"/>
      <c r="J244" s="42"/>
      <c r="K244" s="42"/>
      <c r="L244" s="39"/>
      <c r="M244" s="40"/>
      <c r="N244" s="40"/>
      <c r="O244" s="53"/>
      <c r="P244" s="53"/>
      <c r="Q244" s="53"/>
      <c r="R244" s="53"/>
      <c r="S244" s="53"/>
      <c r="T244" s="53"/>
      <c r="U244" s="41"/>
      <c r="V244" s="38"/>
    </row>
    <row r="245" spans="1:22" ht="15.75" customHeight="1">
      <c r="A245" s="36"/>
      <c r="B245" s="90" t="s">
        <v>68</v>
      </c>
      <c r="C245" s="51">
        <v>43135</v>
      </c>
      <c r="D245" s="52" t="s">
        <v>73</v>
      </c>
      <c r="E245" s="50" t="s">
        <v>64</v>
      </c>
      <c r="F245" s="71" t="str">
        <f>'Super League - Men'!A17</f>
        <v>SLM-15</v>
      </c>
      <c r="G245" s="71" t="str">
        <f>'Super League - Men'!B17</f>
        <v>3rd Round</v>
      </c>
      <c r="H245" s="71" t="str">
        <f>'Super League - Men'!C17</f>
        <v>Aloysians Fire</v>
      </c>
      <c r="I245" s="71" t="str">
        <f>'Super League - Men'!D17</f>
        <v>Mgarr Volley</v>
      </c>
      <c r="J245" s="105">
        <v>1</v>
      </c>
      <c r="K245" s="105">
        <v>3</v>
      </c>
      <c r="L245" s="39"/>
      <c r="M245" s="40"/>
      <c r="N245" s="40"/>
      <c r="O245" s="53"/>
      <c r="P245" s="53"/>
      <c r="Q245" s="53"/>
      <c r="R245" s="53"/>
      <c r="S245" s="53"/>
      <c r="T245" s="53"/>
      <c r="U245" s="41"/>
      <c r="V245" s="38"/>
    </row>
    <row r="246" spans="1:22" ht="15.75" customHeight="1">
      <c r="A246" s="36"/>
      <c r="B246" s="37"/>
      <c r="C246" s="37"/>
      <c r="D246" s="48"/>
      <c r="E246" s="37"/>
      <c r="F246" s="37"/>
      <c r="G246" s="37"/>
      <c r="H246" s="37"/>
      <c r="I246" s="37"/>
      <c r="J246" s="37"/>
      <c r="K246" s="37"/>
      <c r="L246" s="39"/>
      <c r="M246" s="40"/>
      <c r="N246" s="40"/>
      <c r="O246" s="41"/>
      <c r="P246" s="41"/>
      <c r="Q246" s="41"/>
      <c r="R246" s="41"/>
      <c r="S246" s="41"/>
      <c r="T246" s="41"/>
      <c r="U246" s="41"/>
      <c r="V246" s="38"/>
    </row>
    <row r="247" spans="1:22" ht="15.75" customHeight="1">
      <c r="A247" s="89"/>
      <c r="B247" s="72" t="s">
        <v>75</v>
      </c>
      <c r="C247" s="73">
        <v>43140</v>
      </c>
      <c r="D247" s="110" t="s">
        <v>76</v>
      </c>
      <c r="E247" s="111" t="s">
        <v>64</v>
      </c>
      <c r="F247" s="75" t="str">
        <f>'Super League - Women'!A20</f>
        <v>SLW-18</v>
      </c>
      <c r="G247" s="75" t="str">
        <f>'Super League - Women'!B20</f>
        <v>2nd Round</v>
      </c>
      <c r="H247" s="75" t="str">
        <f>'Super League - Women'!C20</f>
        <v>Kavallieri</v>
      </c>
      <c r="I247" s="75" t="str">
        <f>'Super League - Women'!D20</f>
        <v>Balzan Flyers Crosscraft</v>
      </c>
      <c r="J247" s="75">
        <f>'Super League - Women'!E20</f>
        <v>0</v>
      </c>
      <c r="K247" s="75">
        <f>'Super League - Women'!F20</f>
        <v>3</v>
      </c>
      <c r="L247" s="106"/>
      <c r="M247" s="92"/>
      <c r="N247" s="92"/>
      <c r="O247" s="93"/>
      <c r="P247" s="93"/>
      <c r="Q247" s="93"/>
      <c r="R247" s="93"/>
      <c r="S247" s="93"/>
      <c r="T247" s="93"/>
      <c r="U247" s="94"/>
      <c r="V247" s="95"/>
    </row>
    <row r="248" spans="1:22" ht="15.75" customHeight="1">
      <c r="A248" s="36"/>
      <c r="B248" s="37"/>
      <c r="C248" s="37"/>
      <c r="D248" s="48"/>
      <c r="E248" s="37"/>
      <c r="F248" s="37"/>
      <c r="G248" s="37"/>
      <c r="H248" s="37"/>
      <c r="I248" s="37"/>
      <c r="J248" s="37"/>
      <c r="K248" s="37"/>
      <c r="L248" s="39"/>
      <c r="M248" s="40"/>
      <c r="N248" s="40"/>
      <c r="O248" s="41"/>
      <c r="P248" s="41"/>
      <c r="Q248" s="41"/>
      <c r="R248" s="41"/>
      <c r="S248" s="41"/>
      <c r="T248" s="41"/>
      <c r="U248" s="41"/>
      <c r="V248" s="38"/>
    </row>
    <row r="249" spans="1:22" ht="15.75" customHeight="1">
      <c r="A249" s="36"/>
      <c r="B249" s="90" t="s">
        <v>62</v>
      </c>
      <c r="C249" s="51">
        <v>43141</v>
      </c>
      <c r="D249" s="52" t="s">
        <v>66</v>
      </c>
      <c r="E249" s="50" t="s">
        <v>64</v>
      </c>
      <c r="F249" s="71" t="str">
        <f>'Super League - Men'!A15</f>
        <v>SLM-13</v>
      </c>
      <c r="G249" s="71" t="str">
        <f>'Super League - Men'!B15</f>
        <v>3rd Round</v>
      </c>
      <c r="H249" s="71" t="str">
        <f>'Super League - Men'!C15</f>
        <v>Mgarr Volley</v>
      </c>
      <c r="I249" s="71" t="str">
        <f>'Super League - Men'!D15</f>
        <v>Aloysians Ice</v>
      </c>
      <c r="J249" s="71">
        <f>'Super League - Men'!E15</f>
        <v>1</v>
      </c>
      <c r="K249" s="71">
        <f>'Super League - Men'!F15</f>
        <v>3</v>
      </c>
      <c r="L249" s="39"/>
      <c r="M249" s="40"/>
      <c r="N249" s="40"/>
      <c r="O249" s="53"/>
      <c r="P249" s="53"/>
      <c r="Q249" s="53"/>
      <c r="R249" s="53"/>
      <c r="S249" s="53"/>
      <c r="T249" s="53"/>
      <c r="U249" s="41"/>
      <c r="V249" s="38"/>
    </row>
    <row r="250" spans="1:22" ht="7.5" customHeight="1">
      <c r="A250" s="36"/>
      <c r="B250" s="37"/>
      <c r="C250" s="58"/>
      <c r="D250" s="48"/>
      <c r="E250" s="37"/>
      <c r="F250" s="42"/>
      <c r="G250" s="42"/>
      <c r="H250" s="42"/>
      <c r="I250" s="42"/>
      <c r="J250" s="42"/>
      <c r="K250" s="42"/>
      <c r="L250" s="39"/>
      <c r="M250" s="40"/>
      <c r="N250" s="40"/>
      <c r="O250" s="53"/>
      <c r="P250" s="53"/>
      <c r="Q250" s="53"/>
      <c r="R250" s="53"/>
      <c r="S250" s="53"/>
      <c r="T250" s="53"/>
      <c r="U250" s="41"/>
      <c r="V250" s="38"/>
    </row>
    <row r="251" spans="1:22" ht="15.75" customHeight="1">
      <c r="A251" s="36"/>
      <c r="B251" s="50" t="s">
        <v>62</v>
      </c>
      <c r="C251" s="51">
        <v>43141</v>
      </c>
      <c r="D251" s="52" t="s">
        <v>67</v>
      </c>
      <c r="E251" s="50" t="s">
        <v>64</v>
      </c>
      <c r="F251" s="71" t="str">
        <f>'Super League - Men'!A16</f>
        <v>SLM-14</v>
      </c>
      <c r="G251" s="71" t="str">
        <f>'Super League - Men'!B16</f>
        <v>3rd Round</v>
      </c>
      <c r="H251" s="71" t="str">
        <f>'Super League - Men'!C16</f>
        <v>Valletta Mapei</v>
      </c>
      <c r="I251" s="71" t="str">
        <f>'Super League - Men'!D16</f>
        <v>Aloysians Fire</v>
      </c>
      <c r="J251" s="71">
        <f>'Super League - Men'!E16</f>
        <v>3</v>
      </c>
      <c r="K251" s="71">
        <f>'Super League - Men'!F16</f>
        <v>0</v>
      </c>
      <c r="L251" s="39"/>
      <c r="M251" s="40"/>
      <c r="N251" s="40"/>
      <c r="O251" s="53"/>
      <c r="P251" s="53"/>
      <c r="Q251" s="53"/>
      <c r="R251" s="53"/>
      <c r="S251" s="53"/>
      <c r="T251" s="53"/>
      <c r="U251" s="41"/>
      <c r="V251" s="38"/>
    </row>
    <row r="252" spans="1:22" ht="15.75" customHeight="1">
      <c r="A252" s="36"/>
      <c r="B252" s="37"/>
      <c r="C252" s="37"/>
      <c r="D252" s="48"/>
      <c r="E252" s="37"/>
      <c r="F252" s="37"/>
      <c r="G252" s="37"/>
      <c r="H252" s="37"/>
      <c r="I252" s="37"/>
      <c r="J252" s="37"/>
      <c r="K252" s="37"/>
      <c r="L252" s="39"/>
      <c r="M252" s="40"/>
      <c r="N252" s="40"/>
      <c r="O252" s="41"/>
      <c r="P252" s="41"/>
      <c r="Q252" s="41"/>
      <c r="R252" s="41"/>
      <c r="S252" s="41"/>
      <c r="T252" s="41"/>
      <c r="U252" s="41"/>
      <c r="V252" s="38"/>
    </row>
    <row r="253" spans="1:22" ht="15.75" customHeight="1">
      <c r="A253" s="36"/>
      <c r="B253" s="67" t="s">
        <v>68</v>
      </c>
      <c r="C253" s="68">
        <v>43142</v>
      </c>
      <c r="D253" s="69" t="s">
        <v>66</v>
      </c>
      <c r="E253" s="67" t="s">
        <v>64</v>
      </c>
      <c r="F253" s="70" t="str">
        <f>'1st Division League - Women'!A27</f>
        <v>1LW-25</v>
      </c>
      <c r="G253" s="70" t="str">
        <f>'1st Division League - Women'!B27</f>
        <v>2nd Round</v>
      </c>
      <c r="H253" s="70" t="str">
        <f>'1st Division League - Women'!C27</f>
        <v>Swieqi Phoenix</v>
      </c>
      <c r="I253" s="70" t="str">
        <f>'1st Division League - Women'!D27</f>
        <v>Balzan Flyers</v>
      </c>
      <c r="J253" s="70">
        <f>'1st Division League - Women'!E27</f>
        <v>3</v>
      </c>
      <c r="K253" s="70">
        <f>'1st Division League - Women'!F27</f>
        <v>0</v>
      </c>
      <c r="L253" s="39"/>
      <c r="M253" s="40"/>
      <c r="N253" s="40"/>
      <c r="O253" s="53"/>
      <c r="P253" s="53"/>
      <c r="Q253" s="53"/>
      <c r="R253" s="53"/>
      <c r="S253" s="53"/>
      <c r="T253" s="53"/>
      <c r="U253" s="41"/>
      <c r="V253" s="38"/>
    </row>
    <row r="254" spans="1:22" ht="7.5" customHeight="1">
      <c r="A254" s="36"/>
      <c r="B254" s="37"/>
      <c r="C254" s="58"/>
      <c r="D254" s="48"/>
      <c r="E254" s="37"/>
      <c r="F254" s="42"/>
      <c r="G254" s="42"/>
      <c r="H254" s="42"/>
      <c r="I254" s="42"/>
      <c r="J254" s="42"/>
      <c r="K254" s="42"/>
      <c r="L254" s="39"/>
      <c r="M254" s="40"/>
      <c r="N254" s="40"/>
      <c r="O254" s="53"/>
      <c r="P254" s="53"/>
      <c r="Q254" s="53"/>
      <c r="R254" s="53"/>
      <c r="S254" s="53"/>
      <c r="T254" s="53"/>
      <c r="U254" s="41"/>
      <c r="V254" s="38"/>
    </row>
    <row r="255" spans="1:22" ht="15.75" customHeight="1">
      <c r="A255" s="36"/>
      <c r="B255" s="67" t="s">
        <v>68</v>
      </c>
      <c r="C255" s="68">
        <v>43142</v>
      </c>
      <c r="D255" s="69" t="s">
        <v>67</v>
      </c>
      <c r="E255" s="67" t="s">
        <v>64</v>
      </c>
      <c r="F255" s="70" t="str">
        <f>'1st Division League - Women'!A28</f>
        <v>1LW-26</v>
      </c>
      <c r="G255" s="70" t="str">
        <f>'1st Division League - Women'!B28</f>
        <v>2nd Round</v>
      </c>
      <c r="H255" s="70" t="str">
        <f>'1st Division League - Women'!C28</f>
        <v>Birkirkara</v>
      </c>
      <c r="I255" s="70" t="str">
        <f>'1st Division League - Women'!D28</f>
        <v>Mgarr Volley</v>
      </c>
      <c r="J255" s="70">
        <f>'1st Division League - Women'!E28</f>
        <v>0</v>
      </c>
      <c r="K255" s="70">
        <f>'1st Division League - Women'!F28</f>
        <v>3</v>
      </c>
      <c r="L255" s="39"/>
      <c r="M255" s="40"/>
      <c r="N255" s="40"/>
      <c r="O255" s="53"/>
      <c r="P255" s="53"/>
      <c r="Q255" s="53"/>
      <c r="R255" s="53"/>
      <c r="S255" s="53"/>
      <c r="T255" s="53"/>
      <c r="U255" s="41"/>
      <c r="V255" s="38"/>
    </row>
    <row r="256" spans="1:22" ht="7.5" customHeight="1">
      <c r="A256" s="36"/>
      <c r="B256" s="37"/>
      <c r="C256" s="58"/>
      <c r="D256" s="48"/>
      <c r="E256" s="37"/>
      <c r="F256" s="42"/>
      <c r="G256" s="42"/>
      <c r="H256" s="42"/>
      <c r="I256" s="42"/>
      <c r="J256" s="42"/>
      <c r="K256" s="42"/>
      <c r="L256" s="39"/>
      <c r="M256" s="40"/>
      <c r="N256" s="40"/>
      <c r="O256" s="53"/>
      <c r="P256" s="53"/>
      <c r="Q256" s="53"/>
      <c r="R256" s="53"/>
      <c r="S256" s="53"/>
      <c r="T256" s="53"/>
      <c r="U256" s="41"/>
      <c r="V256" s="38"/>
    </row>
    <row r="257" spans="1:22" ht="15.75" customHeight="1">
      <c r="A257" s="36"/>
      <c r="B257" s="67" t="s">
        <v>68</v>
      </c>
      <c r="C257" s="68">
        <v>43142</v>
      </c>
      <c r="D257" s="69" t="s">
        <v>73</v>
      </c>
      <c r="E257" s="67" t="s">
        <v>64</v>
      </c>
      <c r="F257" s="70" t="str">
        <f>'1st Division League - Women'!A29</f>
        <v>1LW-27</v>
      </c>
      <c r="G257" s="70" t="str">
        <f>'1st Division League - Women'!B29</f>
        <v>2nd Round</v>
      </c>
      <c r="H257" s="70" t="str">
        <f>'1st Division League - Women'!C29</f>
        <v>Fleur de Lys Swatch</v>
      </c>
      <c r="I257" s="70" t="str">
        <f>'1st Division League - Women'!D29</f>
        <v>Mellieha</v>
      </c>
      <c r="J257" s="70">
        <f>'1st Division League - Women'!E29</f>
        <v>3</v>
      </c>
      <c r="K257" s="70">
        <f>'1st Division League - Women'!F29</f>
        <v>0</v>
      </c>
      <c r="L257" s="39"/>
      <c r="M257" s="40"/>
      <c r="N257" s="40"/>
      <c r="O257" s="53"/>
      <c r="P257" s="53"/>
      <c r="Q257" s="53"/>
      <c r="R257" s="53"/>
      <c r="S257" s="53"/>
      <c r="T257" s="53"/>
      <c r="U257" s="41"/>
      <c r="V257" s="38"/>
    </row>
    <row r="258" spans="1:22" ht="15.75" customHeight="1">
      <c r="A258" s="36"/>
      <c r="B258" s="37"/>
      <c r="C258" s="37"/>
      <c r="D258" s="48"/>
      <c r="E258" s="37"/>
      <c r="F258" s="37"/>
      <c r="G258" s="37"/>
      <c r="H258" s="37"/>
      <c r="I258" s="37"/>
      <c r="J258" s="37"/>
      <c r="K258" s="37"/>
      <c r="L258" s="39"/>
      <c r="M258" s="40"/>
      <c r="N258" s="40"/>
      <c r="O258" s="41"/>
      <c r="P258" s="41"/>
      <c r="Q258" s="41"/>
      <c r="R258" s="41"/>
      <c r="S258" s="41"/>
      <c r="T258" s="41"/>
      <c r="U258" s="41"/>
      <c r="V258" s="38"/>
    </row>
    <row r="259" spans="1:22" ht="15.75" customHeight="1">
      <c r="A259" s="36"/>
      <c r="B259" s="67" t="s">
        <v>62</v>
      </c>
      <c r="C259" s="68">
        <v>43148</v>
      </c>
      <c r="D259" s="69" t="s">
        <v>66</v>
      </c>
      <c r="E259" s="67" t="s">
        <v>64</v>
      </c>
      <c r="F259" s="70" t="str">
        <f>'1st Division League - Women'!A30</f>
        <v>1LW-28</v>
      </c>
      <c r="G259" s="70" t="str">
        <f>'1st Division League - Women'!B30</f>
        <v>2nd Round</v>
      </c>
      <c r="H259" s="70" t="str">
        <f>'1st Division League - Women'!C30</f>
        <v>Mellieha</v>
      </c>
      <c r="I259" s="70" t="str">
        <f>'1st Division League - Women'!D30</f>
        <v>Swieqi Phoenix</v>
      </c>
      <c r="J259" s="70">
        <f>'1st Division League - Women'!E30</f>
        <v>0</v>
      </c>
      <c r="K259" s="70">
        <f>'1st Division League - Women'!F30</f>
        <v>3</v>
      </c>
      <c r="L259" s="39"/>
      <c r="M259" s="40"/>
      <c r="N259" s="40"/>
      <c r="O259" s="53"/>
      <c r="P259" s="53"/>
      <c r="Q259" s="53"/>
      <c r="R259" s="53"/>
      <c r="S259" s="53"/>
      <c r="T259" s="53"/>
      <c r="U259" s="41"/>
      <c r="V259" s="38"/>
    </row>
    <row r="260" spans="1:22" ht="7.5" customHeight="1">
      <c r="A260" s="36"/>
      <c r="B260" s="37"/>
      <c r="C260" s="58"/>
      <c r="D260" s="48"/>
      <c r="E260" s="37"/>
      <c r="F260" s="42"/>
      <c r="G260" s="42"/>
      <c r="H260" s="42"/>
      <c r="I260" s="42"/>
      <c r="J260" s="42"/>
      <c r="K260" s="42"/>
      <c r="L260" s="39"/>
      <c r="M260" s="40"/>
      <c r="N260" s="40"/>
      <c r="O260" s="53"/>
      <c r="P260" s="53"/>
      <c r="Q260" s="53"/>
      <c r="R260" s="53"/>
      <c r="S260" s="53"/>
      <c r="T260" s="53"/>
      <c r="U260" s="41"/>
      <c r="V260" s="38"/>
    </row>
    <row r="261" spans="1:22" ht="15.75" customHeight="1">
      <c r="A261" s="36"/>
      <c r="B261" s="67" t="s">
        <v>62</v>
      </c>
      <c r="C261" s="68">
        <v>43148</v>
      </c>
      <c r="D261" s="69" t="s">
        <v>67</v>
      </c>
      <c r="E261" s="67" t="s">
        <v>64</v>
      </c>
      <c r="F261" s="70" t="str">
        <f>'1st Division League - Women'!A31</f>
        <v>1LW-29</v>
      </c>
      <c r="G261" s="70" t="str">
        <f>'1st Division League - Women'!B31</f>
        <v>2nd Round</v>
      </c>
      <c r="H261" s="70" t="str">
        <f>'1st Division League - Women'!C31</f>
        <v>Zabbar St. Patrick's</v>
      </c>
      <c r="I261" s="70" t="str">
        <f>'1st Division League - Women'!D31</f>
        <v>Mgarr Volley</v>
      </c>
      <c r="J261" s="70">
        <f>'1st Division League - Women'!E31</f>
        <v>0</v>
      </c>
      <c r="K261" s="70">
        <f>'1st Division League - Women'!F31</f>
        <v>3</v>
      </c>
      <c r="L261" s="39"/>
      <c r="M261" s="40"/>
      <c r="N261" s="40"/>
      <c r="O261" s="53"/>
      <c r="P261" s="53"/>
      <c r="Q261" s="53"/>
      <c r="R261" s="53"/>
      <c r="S261" s="53"/>
      <c r="T261" s="53"/>
      <c r="U261" s="41"/>
      <c r="V261" s="38"/>
    </row>
    <row r="262" spans="1:22" ht="7.5" customHeight="1">
      <c r="A262" s="36"/>
      <c r="B262" s="37"/>
      <c r="C262" s="58"/>
      <c r="D262" s="48"/>
      <c r="E262" s="37"/>
      <c r="F262" s="42"/>
      <c r="G262" s="42"/>
      <c r="H262" s="42"/>
      <c r="I262" s="42"/>
      <c r="J262" s="42"/>
      <c r="K262" s="42"/>
      <c r="L262" s="39"/>
      <c r="M262" s="40"/>
      <c r="N262" s="40"/>
      <c r="O262" s="53"/>
      <c r="P262" s="53"/>
      <c r="Q262" s="53"/>
      <c r="R262" s="53"/>
      <c r="S262" s="53"/>
      <c r="T262" s="53"/>
      <c r="U262" s="41"/>
      <c r="V262" s="38"/>
    </row>
    <row r="263" spans="1:22" ht="15.75" customHeight="1">
      <c r="A263" s="36"/>
      <c r="B263" s="67" t="s">
        <v>62</v>
      </c>
      <c r="C263" s="68">
        <v>43148</v>
      </c>
      <c r="D263" s="69" t="s">
        <v>73</v>
      </c>
      <c r="E263" s="67" t="s">
        <v>64</v>
      </c>
      <c r="F263" s="70" t="str">
        <f>'1st Division League - Women'!A32</f>
        <v>1LW-30</v>
      </c>
      <c r="G263" s="70" t="str">
        <f>'1st Division League - Women'!B32</f>
        <v>2nd Round</v>
      </c>
      <c r="H263" s="70" t="str">
        <f>'1st Division League - Women'!C32</f>
        <v>Balzan Flyers</v>
      </c>
      <c r="I263" s="70" t="str">
        <f>'1st Division League - Women'!D32</f>
        <v>Fleur de Lys Swatch</v>
      </c>
      <c r="J263" s="70">
        <f>'1st Division League - Women'!E32</f>
        <v>1</v>
      </c>
      <c r="K263" s="70">
        <f>'1st Division League - Women'!F32</f>
        <v>3</v>
      </c>
      <c r="L263" s="39"/>
      <c r="M263" s="40"/>
      <c r="N263" s="40"/>
      <c r="O263" s="53"/>
      <c r="P263" s="53"/>
      <c r="Q263" s="53"/>
      <c r="R263" s="53"/>
      <c r="S263" s="53"/>
      <c r="T263" s="53"/>
      <c r="U263" s="41"/>
      <c r="V263" s="38"/>
    </row>
    <row r="264" spans="1:22" ht="15.75" customHeight="1">
      <c r="A264" s="36"/>
      <c r="B264" s="37"/>
      <c r="C264" s="37"/>
      <c r="D264" s="48"/>
      <c r="E264" s="37"/>
      <c r="F264" s="37"/>
      <c r="G264" s="37"/>
      <c r="H264" s="37"/>
      <c r="I264" s="37"/>
      <c r="J264" s="37"/>
      <c r="K264" s="37"/>
      <c r="L264" s="39"/>
      <c r="M264" s="40"/>
      <c r="N264" s="40"/>
      <c r="O264" s="41"/>
      <c r="P264" s="41"/>
      <c r="Q264" s="41"/>
      <c r="R264" s="41"/>
      <c r="S264" s="41"/>
      <c r="T264" s="41"/>
      <c r="U264" s="41"/>
      <c r="V264" s="38"/>
    </row>
    <row r="265" spans="1:22" ht="15.75" customHeight="1">
      <c r="A265" s="36"/>
      <c r="B265" s="90" t="s">
        <v>68</v>
      </c>
      <c r="C265" s="51">
        <v>43149</v>
      </c>
      <c r="D265" s="52" t="s">
        <v>66</v>
      </c>
      <c r="E265" s="50" t="s">
        <v>64</v>
      </c>
      <c r="F265" s="71" t="str">
        <f>'Super League - Men'!A18</f>
        <v>SLM-16</v>
      </c>
      <c r="G265" s="71" t="str">
        <f>'Super League - Men'!B18</f>
        <v>3rd Round</v>
      </c>
      <c r="H265" s="71" t="str">
        <f>'Super League - Men'!C18</f>
        <v>Aloysians Ice</v>
      </c>
      <c r="I265" s="71" t="str">
        <f>'Super League - Men'!D18</f>
        <v>Valletta Mapei</v>
      </c>
      <c r="J265" s="71">
        <f>'Super League - Men'!E18</f>
        <v>1</v>
      </c>
      <c r="K265" s="71">
        <f>'Super League - Men'!F18</f>
        <v>3</v>
      </c>
      <c r="L265" s="39"/>
      <c r="M265" s="40"/>
      <c r="N265" s="40"/>
      <c r="O265" s="53"/>
      <c r="P265" s="53"/>
      <c r="Q265" s="53"/>
      <c r="R265" s="53"/>
      <c r="S265" s="53"/>
      <c r="T265" s="53"/>
      <c r="U265" s="41"/>
      <c r="V265" s="38"/>
    </row>
    <row r="266" spans="1:22" ht="7.5" customHeight="1">
      <c r="A266" s="36"/>
      <c r="B266" s="37"/>
      <c r="C266" s="58"/>
      <c r="D266" s="48"/>
      <c r="E266" s="37"/>
      <c r="F266" s="42"/>
      <c r="G266" s="42"/>
      <c r="H266" s="42"/>
      <c r="I266" s="42"/>
      <c r="J266" s="42"/>
      <c r="K266" s="42"/>
      <c r="L266" s="39"/>
      <c r="M266" s="40"/>
      <c r="N266" s="40"/>
      <c r="O266" s="53"/>
      <c r="P266" s="53"/>
      <c r="Q266" s="53"/>
      <c r="R266" s="53"/>
      <c r="S266" s="53"/>
      <c r="T266" s="53"/>
      <c r="U266" s="41"/>
      <c r="V266" s="38"/>
    </row>
    <row r="267" spans="1:22" ht="15.75" customHeight="1">
      <c r="A267" s="36"/>
      <c r="B267" s="72" t="s">
        <v>68</v>
      </c>
      <c r="C267" s="73">
        <v>43149</v>
      </c>
      <c r="D267" s="74" t="s">
        <v>67</v>
      </c>
      <c r="E267" s="72" t="s">
        <v>64</v>
      </c>
      <c r="F267" s="75" t="str">
        <f>'Super League - Women'!A23</f>
        <v>SLW-21</v>
      </c>
      <c r="G267" s="75" t="str">
        <f>'Super League - Women'!B23</f>
        <v>3rd Round</v>
      </c>
      <c r="H267" s="75" t="str">
        <f>'Super League - Women'!C23</f>
        <v>Paola Volley</v>
      </c>
      <c r="I267" s="75" t="str">
        <f>'Super League - Women'!D23</f>
        <v>Fleur de Lys Royal Panda</v>
      </c>
      <c r="J267" s="75">
        <f>'Super League - Women'!E23</f>
        <v>1</v>
      </c>
      <c r="K267" s="75">
        <f>'Super League - Women'!F23</f>
        <v>3</v>
      </c>
      <c r="L267" s="39"/>
      <c r="M267" s="40"/>
      <c r="N267" s="40"/>
      <c r="O267" s="53"/>
      <c r="P267" s="53"/>
      <c r="Q267" s="53"/>
      <c r="R267" s="53"/>
      <c r="S267" s="53"/>
      <c r="T267" s="53"/>
      <c r="U267" s="41"/>
      <c r="V267" s="38"/>
    </row>
    <row r="268" spans="1:22" ht="7.5" customHeight="1">
      <c r="A268" s="36"/>
      <c r="B268" s="37"/>
      <c r="C268" s="58"/>
      <c r="D268" s="48"/>
      <c r="E268" s="37"/>
      <c r="F268" s="42"/>
      <c r="G268" s="42"/>
      <c r="H268" s="42"/>
      <c r="I268" s="42"/>
      <c r="J268" s="42"/>
      <c r="K268" s="42"/>
      <c r="L268" s="39"/>
      <c r="M268" s="40"/>
      <c r="N268" s="40"/>
      <c r="O268" s="53"/>
      <c r="P268" s="53"/>
      <c r="Q268" s="53"/>
      <c r="R268" s="53"/>
      <c r="S268" s="53"/>
      <c r="T268" s="53"/>
      <c r="U268" s="41"/>
      <c r="V268" s="38"/>
    </row>
    <row r="269" spans="1:22" ht="15.75" customHeight="1">
      <c r="A269" s="36"/>
      <c r="B269" s="72" t="s">
        <v>68</v>
      </c>
      <c r="C269" s="73">
        <v>43149</v>
      </c>
      <c r="D269" s="74" t="s">
        <v>73</v>
      </c>
      <c r="E269" s="72" t="s">
        <v>64</v>
      </c>
      <c r="F269" s="75" t="str">
        <f>'Super League - Women'!A24</f>
        <v>SLW-22</v>
      </c>
      <c r="G269" s="75" t="str">
        <f>'Super League - Women'!B24</f>
        <v>3rd Round</v>
      </c>
      <c r="H269" s="75" t="str">
        <f>'Super League - Women'!C24</f>
        <v>Kavallieri</v>
      </c>
      <c r="I269" s="75" t="str">
        <f>'Super League - Women'!D24</f>
        <v>Sliema Wanderers</v>
      </c>
      <c r="J269" s="75">
        <f>'Super League - Women'!E24</f>
        <v>0</v>
      </c>
      <c r="K269" s="75">
        <f>'Super League - Women'!F24</f>
        <v>3</v>
      </c>
      <c r="L269" s="39"/>
      <c r="M269" s="40"/>
      <c r="N269" s="40"/>
      <c r="O269" s="53"/>
      <c r="P269" s="53"/>
      <c r="Q269" s="53"/>
      <c r="R269" s="53"/>
      <c r="S269" s="53"/>
      <c r="T269" s="53"/>
      <c r="U269" s="41"/>
      <c r="V269" s="38"/>
    </row>
    <row r="270" spans="1:22" ht="15.75" customHeight="1">
      <c r="A270" s="36"/>
      <c r="B270" s="37"/>
      <c r="C270" s="37"/>
      <c r="D270" s="48"/>
      <c r="E270" s="37"/>
      <c r="F270" s="37"/>
      <c r="G270" s="37"/>
      <c r="H270" s="37"/>
      <c r="I270" s="37"/>
      <c r="J270" s="37"/>
      <c r="K270" s="37"/>
      <c r="L270" s="39"/>
      <c r="M270" s="40"/>
      <c r="N270" s="40"/>
      <c r="O270" s="41"/>
      <c r="P270" s="41"/>
      <c r="Q270" s="41"/>
      <c r="R270" s="41"/>
      <c r="S270" s="41"/>
      <c r="T270" s="41"/>
      <c r="U270" s="41"/>
      <c r="V270" s="38"/>
    </row>
    <row r="271" spans="1:26" ht="15.75" customHeight="1">
      <c r="A271" s="36"/>
      <c r="B271" s="67" t="s">
        <v>75</v>
      </c>
      <c r="C271" s="68">
        <v>43154</v>
      </c>
      <c r="D271" s="69" t="s">
        <v>76</v>
      </c>
      <c r="E271" s="67" t="s">
        <v>64</v>
      </c>
      <c r="F271" s="70" t="str">
        <f>'1st Division League - Women'!A25</f>
        <v>1LW-23</v>
      </c>
      <c r="G271" s="70" t="str">
        <f>'1st Division League - Women'!B25</f>
        <v>2nd Round</v>
      </c>
      <c r="H271" s="70" t="str">
        <f>'1st Division League - Women'!C25</f>
        <v>Mellieha</v>
      </c>
      <c r="I271" s="70" t="str">
        <f>'1st Division League - Women'!D25</f>
        <v>Birkirkara</v>
      </c>
      <c r="J271" s="70">
        <f>'1st Division League - Women'!E25</f>
        <v>0</v>
      </c>
      <c r="K271" s="70">
        <f>'1st Division League - Women'!F25</f>
        <v>0</v>
      </c>
      <c r="L271" s="76" t="s">
        <v>329</v>
      </c>
      <c r="M271" s="40"/>
      <c r="N271" s="40"/>
      <c r="O271" s="53"/>
      <c r="P271" s="53"/>
      <c r="Q271" s="53"/>
      <c r="R271" s="53"/>
      <c r="S271" s="53"/>
      <c r="T271" s="53"/>
      <c r="U271" s="41"/>
      <c r="V271" s="38"/>
      <c r="W271" s="38"/>
      <c r="X271" s="38"/>
      <c r="Y271" s="38"/>
      <c r="Z271" s="38"/>
    </row>
    <row r="272" spans="1:26" ht="7.5" customHeight="1">
      <c r="A272" s="36"/>
      <c r="B272" s="37"/>
      <c r="C272" s="58"/>
      <c r="D272" s="48"/>
      <c r="E272" s="37"/>
      <c r="F272" s="42"/>
      <c r="G272" s="42"/>
      <c r="H272" s="42"/>
      <c r="I272" s="42"/>
      <c r="J272" s="42"/>
      <c r="K272" s="42"/>
      <c r="L272" s="39"/>
      <c r="M272" s="40"/>
      <c r="N272" s="40"/>
      <c r="O272" s="53"/>
      <c r="P272" s="53"/>
      <c r="Q272" s="53"/>
      <c r="R272" s="53"/>
      <c r="S272" s="53"/>
      <c r="T272" s="53"/>
      <c r="U272" s="41"/>
      <c r="V272" s="38"/>
      <c r="W272" s="38"/>
      <c r="X272" s="38"/>
      <c r="Y272" s="38"/>
      <c r="Z272" s="38"/>
    </row>
    <row r="273" spans="1:22" ht="15.75" customHeight="1">
      <c r="A273" s="36"/>
      <c r="B273" s="67" t="s">
        <v>62</v>
      </c>
      <c r="C273" s="68">
        <v>43155</v>
      </c>
      <c r="D273" s="69" t="s">
        <v>66</v>
      </c>
      <c r="E273" s="67" t="s">
        <v>64</v>
      </c>
      <c r="F273" s="70" t="str">
        <f>'1st Division League - Women'!A33</f>
        <v>1LW-31</v>
      </c>
      <c r="G273" s="70" t="str">
        <f>'1st Division League - Women'!B33</f>
        <v>2nd Round</v>
      </c>
      <c r="H273" s="70" t="str">
        <f>'1st Division League - Women'!C33</f>
        <v>Mgarr Volley</v>
      </c>
      <c r="I273" s="70" t="str">
        <f>'1st Division League - Women'!D33</f>
        <v>Swieqi Phoenix</v>
      </c>
      <c r="J273" s="70">
        <f>'1st Division League - Women'!E33</f>
        <v>0</v>
      </c>
      <c r="K273" s="70">
        <f>'1st Division League - Women'!F33</f>
        <v>0</v>
      </c>
      <c r="L273" s="39"/>
      <c r="M273" s="40"/>
      <c r="N273" s="40"/>
      <c r="O273" s="53"/>
      <c r="P273" s="53"/>
      <c r="Q273" s="53"/>
      <c r="R273" s="53"/>
      <c r="S273" s="53"/>
      <c r="T273" s="53"/>
      <c r="U273" s="41"/>
      <c r="V273" s="38"/>
    </row>
    <row r="274" spans="1:22" ht="7.5" customHeight="1">
      <c r="A274" s="36"/>
      <c r="B274" s="37"/>
      <c r="C274" s="58"/>
      <c r="D274" s="48"/>
      <c r="E274" s="37"/>
      <c r="F274" s="42"/>
      <c r="G274" s="42"/>
      <c r="H274" s="42"/>
      <c r="I274" s="42"/>
      <c r="J274" s="42"/>
      <c r="K274" s="42"/>
      <c r="L274" s="39"/>
      <c r="M274" s="40"/>
      <c r="N274" s="40"/>
      <c r="O274" s="53"/>
      <c r="P274" s="53"/>
      <c r="Q274" s="53"/>
      <c r="R274" s="53"/>
      <c r="S274" s="53"/>
      <c r="T274" s="53"/>
      <c r="U274" s="41"/>
      <c r="V274" s="38"/>
    </row>
    <row r="275" spans="1:22" ht="15.75" customHeight="1">
      <c r="A275" s="36"/>
      <c r="B275" s="67" t="s">
        <v>62</v>
      </c>
      <c r="C275" s="68">
        <v>43155</v>
      </c>
      <c r="D275" s="69" t="s">
        <v>67</v>
      </c>
      <c r="E275" s="67" t="s">
        <v>64</v>
      </c>
      <c r="F275" s="70" t="str">
        <f>'1st Division League - Women'!A34</f>
        <v>1LW-32</v>
      </c>
      <c r="G275" s="70" t="str">
        <f>'1st Division League - Women'!B34</f>
        <v>2nd Round</v>
      </c>
      <c r="H275" s="70" t="str">
        <f>'1st Division League - Women'!C34</f>
        <v>Zabbar St. Patrick's</v>
      </c>
      <c r="I275" s="70" t="str">
        <f>'1st Division League - Women'!D34</f>
        <v>Mellieha</v>
      </c>
      <c r="J275" s="70">
        <f>'1st Division League - Women'!E34</f>
        <v>0</v>
      </c>
      <c r="K275" s="70">
        <f>'1st Division League - Women'!F34</f>
        <v>0</v>
      </c>
      <c r="L275" s="39"/>
      <c r="M275" s="40"/>
      <c r="N275" s="40"/>
      <c r="O275" s="53"/>
      <c r="P275" s="53"/>
      <c r="Q275" s="53"/>
      <c r="R275" s="53"/>
      <c r="S275" s="53"/>
      <c r="T275" s="53"/>
      <c r="U275" s="41"/>
      <c r="V275" s="38"/>
    </row>
    <row r="276" spans="1:22" ht="7.5" customHeight="1">
      <c r="A276" s="36"/>
      <c r="B276" s="37"/>
      <c r="C276" s="58"/>
      <c r="D276" s="48"/>
      <c r="E276" s="37"/>
      <c r="F276" s="42"/>
      <c r="G276" s="42"/>
      <c r="H276" s="42"/>
      <c r="I276" s="42"/>
      <c r="J276" s="42"/>
      <c r="K276" s="42"/>
      <c r="L276" s="39"/>
      <c r="M276" s="40"/>
      <c r="N276" s="40"/>
      <c r="O276" s="53"/>
      <c r="P276" s="53"/>
      <c r="Q276" s="53"/>
      <c r="R276" s="53"/>
      <c r="S276" s="53"/>
      <c r="T276" s="53"/>
      <c r="U276" s="41"/>
      <c r="V276" s="38"/>
    </row>
    <row r="277" spans="1:22" ht="15.75" customHeight="1">
      <c r="A277" s="36"/>
      <c r="B277" s="67" t="s">
        <v>62</v>
      </c>
      <c r="C277" s="68">
        <v>43155</v>
      </c>
      <c r="D277" s="69" t="s">
        <v>73</v>
      </c>
      <c r="E277" s="67" t="s">
        <v>64</v>
      </c>
      <c r="F277" s="70" t="str">
        <f>'1st Division League - Women'!A35</f>
        <v>1LW-33</v>
      </c>
      <c r="G277" s="70" t="str">
        <f>'1st Division League - Women'!B35</f>
        <v>2nd Round</v>
      </c>
      <c r="H277" s="70" t="str">
        <f>'1st Division League - Women'!C35</f>
        <v>Birkirkara</v>
      </c>
      <c r="I277" s="70" t="str">
        <f>'1st Division League - Women'!D35</f>
        <v>Balzan Flyers</v>
      </c>
      <c r="J277" s="70">
        <f>'1st Division League - Women'!E35</f>
        <v>0</v>
      </c>
      <c r="K277" s="70">
        <f>'1st Division League - Women'!F35</f>
        <v>0</v>
      </c>
      <c r="L277" s="39"/>
      <c r="M277" s="40"/>
      <c r="N277" s="40"/>
      <c r="O277" s="53"/>
      <c r="P277" s="53"/>
      <c r="Q277" s="53"/>
      <c r="R277" s="53"/>
      <c r="S277" s="53"/>
      <c r="T277" s="53"/>
      <c r="U277" s="41"/>
      <c r="V277" s="38"/>
    </row>
    <row r="278" spans="1:22" ht="15.75" customHeight="1">
      <c r="A278" s="36"/>
      <c r="B278" s="37"/>
      <c r="C278" s="37"/>
      <c r="D278" s="48"/>
      <c r="E278" s="37"/>
      <c r="F278" s="37"/>
      <c r="G278" s="37"/>
      <c r="H278" s="37"/>
      <c r="I278" s="37"/>
      <c r="J278" s="37"/>
      <c r="K278" s="37"/>
      <c r="L278" s="39"/>
      <c r="M278" s="40"/>
      <c r="N278" s="40"/>
      <c r="O278" s="41"/>
      <c r="P278" s="41"/>
      <c r="Q278" s="41"/>
      <c r="R278" s="41"/>
      <c r="S278" s="41"/>
      <c r="T278" s="41"/>
      <c r="U278" s="41"/>
      <c r="V278" s="38"/>
    </row>
    <row r="279" spans="1:26" ht="15.75" customHeight="1">
      <c r="A279" s="36"/>
      <c r="B279" s="96" t="s">
        <v>68</v>
      </c>
      <c r="C279" s="97">
        <v>42791</v>
      </c>
      <c r="D279" s="98" t="s">
        <v>99</v>
      </c>
      <c r="E279" s="96" t="s">
        <v>64</v>
      </c>
      <c r="F279" s="99"/>
      <c r="G279" s="99" t="s">
        <v>104</v>
      </c>
      <c r="H279" s="149" t="s">
        <v>98</v>
      </c>
      <c r="I279" s="142"/>
      <c r="J279" s="142"/>
      <c r="K279" s="143"/>
      <c r="L279" s="39"/>
      <c r="M279" s="40"/>
      <c r="N279" s="40"/>
      <c r="O279" s="53"/>
      <c r="P279" s="53"/>
      <c r="Q279" s="53"/>
      <c r="R279" s="53"/>
      <c r="S279" s="53"/>
      <c r="T279" s="53"/>
      <c r="U279" s="41"/>
      <c r="V279" s="38"/>
      <c r="W279" s="38"/>
      <c r="X279" s="38"/>
      <c r="Y279" s="38"/>
      <c r="Z279" s="38"/>
    </row>
    <row r="280" spans="1:26" ht="7.5" customHeight="1">
      <c r="A280" s="36"/>
      <c r="B280" s="37"/>
      <c r="C280" s="58"/>
      <c r="D280" s="48"/>
      <c r="E280" s="37"/>
      <c r="F280" s="42"/>
      <c r="G280" s="42"/>
      <c r="H280" s="42"/>
      <c r="I280" s="42"/>
      <c r="J280" s="42"/>
      <c r="K280" s="42"/>
      <c r="L280" s="39"/>
      <c r="M280" s="40"/>
      <c r="N280" s="40"/>
      <c r="O280" s="53"/>
      <c r="P280" s="53"/>
      <c r="Q280" s="53"/>
      <c r="R280" s="53"/>
      <c r="S280" s="53"/>
      <c r="T280" s="53"/>
      <c r="U280" s="41"/>
      <c r="V280" s="38"/>
      <c r="W280" s="38"/>
      <c r="X280" s="38"/>
      <c r="Y280" s="38"/>
      <c r="Z280" s="38"/>
    </row>
    <row r="281" spans="1:22" ht="15.75" customHeight="1">
      <c r="A281" s="36"/>
      <c r="B281" s="90" t="s">
        <v>68</v>
      </c>
      <c r="C281" s="51">
        <v>43156</v>
      </c>
      <c r="D281" s="52" t="s">
        <v>66</v>
      </c>
      <c r="E281" s="50" t="s">
        <v>64</v>
      </c>
      <c r="F281" s="71" t="str">
        <f>'Super League - Men'!A19</f>
        <v>SLM-17</v>
      </c>
      <c r="G281" s="71" t="str">
        <f>'Super League - Men'!B19</f>
        <v>3rd Round</v>
      </c>
      <c r="H281" s="71" t="str">
        <f>'Super League - Men'!C19</f>
        <v>Mgarr Volley</v>
      </c>
      <c r="I281" s="71" t="str">
        <f>'Super League - Men'!D19</f>
        <v>Valletta Mapei</v>
      </c>
      <c r="J281" s="71">
        <f>'Super League - Men'!E19</f>
        <v>0</v>
      </c>
      <c r="K281" s="71">
        <f>'Super League - Men'!F19</f>
        <v>0</v>
      </c>
      <c r="L281" s="39"/>
      <c r="M281" s="40"/>
      <c r="N281" s="40"/>
      <c r="O281" s="53"/>
      <c r="P281" s="53"/>
      <c r="Q281" s="53"/>
      <c r="R281" s="53"/>
      <c r="S281" s="53"/>
      <c r="T281" s="53"/>
      <c r="U281" s="41"/>
      <c r="V281" s="38"/>
    </row>
    <row r="282" spans="1:22" ht="7.5" customHeight="1">
      <c r="A282" s="36"/>
      <c r="B282" s="37"/>
      <c r="C282" s="58"/>
      <c r="D282" s="48"/>
      <c r="E282" s="37"/>
      <c r="F282" s="42"/>
      <c r="G282" s="42"/>
      <c r="H282" s="42"/>
      <c r="I282" s="42"/>
      <c r="J282" s="42"/>
      <c r="K282" s="42"/>
      <c r="L282" s="39"/>
      <c r="M282" s="40"/>
      <c r="N282" s="40"/>
      <c r="O282" s="53"/>
      <c r="P282" s="53"/>
      <c r="Q282" s="53"/>
      <c r="R282" s="53"/>
      <c r="S282" s="53"/>
      <c r="T282" s="53"/>
      <c r="U282" s="41"/>
      <c r="V282" s="38"/>
    </row>
    <row r="283" spans="1:22" ht="15.75" customHeight="1">
      <c r="A283" s="36"/>
      <c r="B283" s="72" t="s">
        <v>68</v>
      </c>
      <c r="C283" s="73">
        <v>43156</v>
      </c>
      <c r="D283" s="74" t="s">
        <v>67</v>
      </c>
      <c r="E283" s="72" t="s">
        <v>64</v>
      </c>
      <c r="F283" s="75" t="str">
        <f>'Super League - Women'!A25</f>
        <v>SLW-23</v>
      </c>
      <c r="G283" s="75" t="str">
        <f>'Super League - Women'!B25</f>
        <v>3rd Round</v>
      </c>
      <c r="H283" s="75" t="str">
        <f>'Super League - Women'!C25</f>
        <v>Fleur de Lys Royal Panda</v>
      </c>
      <c r="I283" s="75" t="str">
        <f>'Super League - Women'!D25</f>
        <v>Balzan Flyers Crosscraft</v>
      </c>
      <c r="J283" s="75">
        <f>'Super League - Women'!E25</f>
        <v>0</v>
      </c>
      <c r="K283" s="75">
        <f>'Super League - Women'!F25</f>
        <v>0</v>
      </c>
      <c r="L283" s="39"/>
      <c r="M283" s="40"/>
      <c r="N283" s="40"/>
      <c r="O283" s="53"/>
      <c r="P283" s="53"/>
      <c r="Q283" s="53"/>
      <c r="R283" s="53"/>
      <c r="S283" s="53"/>
      <c r="T283" s="53"/>
      <c r="U283" s="41"/>
      <c r="V283" s="38"/>
    </row>
    <row r="284" spans="1:22" ht="7.5" customHeight="1">
      <c r="A284" s="36"/>
      <c r="B284" s="37"/>
      <c r="C284" s="58"/>
      <c r="D284" s="48"/>
      <c r="E284" s="37"/>
      <c r="F284" s="42"/>
      <c r="G284" s="42"/>
      <c r="H284" s="42"/>
      <c r="I284" s="42"/>
      <c r="J284" s="42"/>
      <c r="K284" s="42"/>
      <c r="L284" s="39"/>
      <c r="M284" s="40"/>
      <c r="N284" s="40"/>
      <c r="O284" s="53"/>
      <c r="P284" s="53"/>
      <c r="Q284" s="53"/>
      <c r="R284" s="53"/>
      <c r="S284" s="53"/>
      <c r="T284" s="53"/>
      <c r="U284" s="41"/>
      <c r="V284" s="38"/>
    </row>
    <row r="285" spans="1:22" ht="15.75" customHeight="1">
      <c r="A285" s="36"/>
      <c r="B285" s="72" t="s">
        <v>68</v>
      </c>
      <c r="C285" s="73">
        <v>43156</v>
      </c>
      <c r="D285" s="74" t="s">
        <v>73</v>
      </c>
      <c r="E285" s="72" t="s">
        <v>64</v>
      </c>
      <c r="F285" s="75" t="str">
        <f>'Super League - Women'!A26</f>
        <v>SLW-24</v>
      </c>
      <c r="G285" s="75" t="str">
        <f>'Super League - Women'!B26</f>
        <v>3rd Round</v>
      </c>
      <c r="H285" s="75" t="str">
        <f>'Super League - Women'!C26</f>
        <v>Sliema Wanderers</v>
      </c>
      <c r="I285" s="75" t="str">
        <f>'Super League - Women'!D26</f>
        <v>Paola Volley</v>
      </c>
      <c r="J285" s="75">
        <f>'Super League - Women'!E26</f>
        <v>0</v>
      </c>
      <c r="K285" s="75">
        <f>'Super League - Women'!F26</f>
        <v>0</v>
      </c>
      <c r="L285" s="39"/>
      <c r="M285" s="40"/>
      <c r="N285" s="40"/>
      <c r="O285" s="53"/>
      <c r="P285" s="53"/>
      <c r="Q285" s="53"/>
      <c r="R285" s="53"/>
      <c r="S285" s="53"/>
      <c r="T285" s="53"/>
      <c r="U285" s="41"/>
      <c r="V285" s="38"/>
    </row>
    <row r="286" spans="1:22" ht="15.75" customHeight="1">
      <c r="A286" s="36"/>
      <c r="B286" s="37"/>
      <c r="C286" s="37"/>
      <c r="D286" s="48"/>
      <c r="E286" s="37"/>
      <c r="F286" s="37"/>
      <c r="G286" s="37"/>
      <c r="H286" s="37"/>
      <c r="I286" s="37"/>
      <c r="J286" s="37"/>
      <c r="K286" s="37"/>
      <c r="L286" s="39"/>
      <c r="M286" s="40"/>
      <c r="N286" s="40"/>
      <c r="O286" s="41"/>
      <c r="P286" s="41"/>
      <c r="Q286" s="41"/>
      <c r="R286" s="41"/>
      <c r="S286" s="41"/>
      <c r="T286" s="41"/>
      <c r="U286" s="41"/>
      <c r="V286" s="38"/>
    </row>
    <row r="287" spans="1:22" ht="26.25" customHeight="1">
      <c r="A287" s="49"/>
      <c r="B287" s="138" t="s">
        <v>105</v>
      </c>
      <c r="C287" s="139"/>
      <c r="D287" s="139"/>
      <c r="E287" s="139"/>
      <c r="F287" s="139"/>
      <c r="G287" s="139"/>
      <c r="H287" s="139"/>
      <c r="I287" s="139"/>
      <c r="J287" s="139"/>
      <c r="K287" s="140"/>
      <c r="L287" s="39"/>
      <c r="M287" s="40"/>
      <c r="N287" s="40"/>
      <c r="O287" s="41"/>
      <c r="P287" s="41"/>
      <c r="Q287" s="41"/>
      <c r="R287" s="41"/>
      <c r="S287" s="41"/>
      <c r="T287" s="41"/>
      <c r="U287" s="41"/>
      <c r="V287" s="38"/>
    </row>
    <row r="288" spans="1:22" ht="15.75" customHeight="1">
      <c r="A288" s="36"/>
      <c r="B288" s="37"/>
      <c r="C288" s="37"/>
      <c r="D288" s="48"/>
      <c r="E288" s="37"/>
      <c r="F288" s="37"/>
      <c r="G288" s="37"/>
      <c r="H288" s="37"/>
      <c r="I288" s="37"/>
      <c r="J288" s="37"/>
      <c r="K288" s="37"/>
      <c r="L288" s="39"/>
      <c r="M288" s="40"/>
      <c r="N288" s="40"/>
      <c r="O288" s="41"/>
      <c r="P288" s="41"/>
      <c r="Q288" s="41"/>
      <c r="R288" s="41"/>
      <c r="S288" s="41"/>
      <c r="T288" s="41"/>
      <c r="U288" s="41"/>
      <c r="V288" s="38"/>
    </row>
    <row r="289" spans="1:22" ht="15.75" customHeight="1">
      <c r="A289" s="89"/>
      <c r="B289" s="111" t="s">
        <v>75</v>
      </c>
      <c r="C289" s="73">
        <v>43161</v>
      </c>
      <c r="D289" s="110" t="s">
        <v>76</v>
      </c>
      <c r="E289" s="111" t="s">
        <v>64</v>
      </c>
      <c r="F289" s="75" t="str">
        <f>'Super League - Women'!A27</f>
        <v>SLW-25</v>
      </c>
      <c r="G289" s="75" t="str">
        <f>'Super League - Women'!B27</f>
        <v>3rd Round</v>
      </c>
      <c r="H289" s="75" t="str">
        <f>'Super League - Women'!C27</f>
        <v>Fleur de Lys Royal Panda</v>
      </c>
      <c r="I289" s="75" t="str">
        <f>'Super League - Women'!D27</f>
        <v>Kavallieri</v>
      </c>
      <c r="J289" s="75">
        <f>'Super League - Women'!E27</f>
        <v>0</v>
      </c>
      <c r="K289" s="75">
        <f>'Super League - Women'!F27</f>
        <v>0</v>
      </c>
      <c r="L289" s="106"/>
      <c r="M289" s="92"/>
      <c r="N289" s="92"/>
      <c r="O289" s="93"/>
      <c r="P289" s="93"/>
      <c r="Q289" s="93"/>
      <c r="R289" s="93"/>
      <c r="S289" s="93"/>
      <c r="T289" s="93"/>
      <c r="U289" s="94"/>
      <c r="V289" s="95"/>
    </row>
    <row r="290" spans="1:22" ht="15.75" customHeight="1">
      <c r="A290" s="36"/>
      <c r="B290" s="37"/>
      <c r="C290" s="37"/>
      <c r="D290" s="48"/>
      <c r="E290" s="37"/>
      <c r="F290" s="37"/>
      <c r="G290" s="37"/>
      <c r="H290" s="37"/>
      <c r="I290" s="37"/>
      <c r="J290" s="37"/>
      <c r="K290" s="37"/>
      <c r="L290" s="39"/>
      <c r="M290" s="40"/>
      <c r="N290" s="40"/>
      <c r="O290" s="41"/>
      <c r="P290" s="41"/>
      <c r="Q290" s="41"/>
      <c r="R290" s="41"/>
      <c r="S290" s="41"/>
      <c r="T290" s="41"/>
      <c r="U290" s="41"/>
      <c r="V290" s="38"/>
    </row>
    <row r="291" spans="1:22" ht="15.75" customHeight="1">
      <c r="A291" s="36"/>
      <c r="B291" s="78" t="s">
        <v>62</v>
      </c>
      <c r="C291" s="79">
        <v>43162</v>
      </c>
      <c r="D291" s="80" t="s">
        <v>66</v>
      </c>
      <c r="E291" s="78" t="s">
        <v>64</v>
      </c>
      <c r="F291" s="82" t="str">
        <f>'Under 18 League - Women'!A14</f>
        <v>18LW-12</v>
      </c>
      <c r="G291" s="82" t="str">
        <f>'Under 18 League - Women'!B14</f>
        <v>4th Round</v>
      </c>
      <c r="H291" s="82" t="str">
        <f>'Under 18 League - Women'!C14</f>
        <v>Paola Volley</v>
      </c>
      <c r="I291" s="82" t="str">
        <f>'Under 18 League - Women'!D14</f>
        <v>Balzan Flyers</v>
      </c>
      <c r="J291" s="82">
        <f>'Under 18 League - Women'!E14</f>
        <v>0</v>
      </c>
      <c r="K291" s="82">
        <f>'Under 18 League - Women'!F14</f>
        <v>0</v>
      </c>
      <c r="L291" s="39"/>
      <c r="M291" s="40"/>
      <c r="N291" s="40"/>
      <c r="O291" s="53"/>
      <c r="P291" s="53"/>
      <c r="Q291" s="53"/>
      <c r="R291" s="53"/>
      <c r="S291" s="53"/>
      <c r="T291" s="53"/>
      <c r="U291" s="41"/>
      <c r="V291" s="38"/>
    </row>
    <row r="292" spans="1:22" ht="7.5" customHeight="1">
      <c r="A292" s="36"/>
      <c r="B292" s="37"/>
      <c r="C292" s="58"/>
      <c r="D292" s="48"/>
      <c r="E292" s="37"/>
      <c r="F292" s="42"/>
      <c r="G292" s="42"/>
      <c r="H292" s="42"/>
      <c r="I292" s="42"/>
      <c r="J292" s="42"/>
      <c r="K292" s="42"/>
      <c r="L292" s="39"/>
      <c r="M292" s="40"/>
      <c r="N292" s="40"/>
      <c r="O292" s="53"/>
      <c r="P292" s="53"/>
      <c r="Q292" s="53"/>
      <c r="R292" s="53"/>
      <c r="S292" s="53"/>
      <c r="T292" s="53"/>
      <c r="U292" s="41"/>
      <c r="V292" s="38"/>
    </row>
    <row r="293" spans="1:22" ht="15.75" customHeight="1">
      <c r="A293" s="36"/>
      <c r="B293" s="72" t="s">
        <v>62</v>
      </c>
      <c r="C293" s="73">
        <v>43162</v>
      </c>
      <c r="D293" s="74" t="s">
        <v>67</v>
      </c>
      <c r="E293" s="72" t="s">
        <v>64</v>
      </c>
      <c r="F293" s="75" t="str">
        <f>'Super League - Women'!A28</f>
        <v>SLW-26</v>
      </c>
      <c r="G293" s="75" t="str">
        <f>'Super League - Women'!B28</f>
        <v>3rd Round</v>
      </c>
      <c r="H293" s="75" t="str">
        <f>'Super League - Women'!C28</f>
        <v>Balzan Flyers Crosscraft</v>
      </c>
      <c r="I293" s="75" t="str">
        <f>'Super League - Women'!D28</f>
        <v>Paola Volley</v>
      </c>
      <c r="J293" s="75">
        <f>'Super League - Women'!E28</f>
        <v>0</v>
      </c>
      <c r="K293" s="75">
        <f>'Super League - Women'!F28</f>
        <v>0</v>
      </c>
      <c r="L293" s="39"/>
      <c r="M293" s="40"/>
      <c r="N293" s="40"/>
      <c r="O293" s="53"/>
      <c r="P293" s="53"/>
      <c r="Q293" s="53"/>
      <c r="R293" s="53"/>
      <c r="S293" s="53"/>
      <c r="T293" s="53"/>
      <c r="U293" s="41"/>
      <c r="V293" s="38"/>
    </row>
    <row r="294" spans="1:22" ht="7.5" customHeight="1">
      <c r="A294" s="36"/>
      <c r="B294" s="37"/>
      <c r="C294" s="58"/>
      <c r="D294" s="48"/>
      <c r="E294" s="37"/>
      <c r="F294" s="42"/>
      <c r="G294" s="42"/>
      <c r="H294" s="42"/>
      <c r="I294" s="42"/>
      <c r="J294" s="42"/>
      <c r="K294" s="42"/>
      <c r="L294" s="39"/>
      <c r="M294" s="40"/>
      <c r="N294" s="40"/>
      <c r="O294" s="53"/>
      <c r="P294" s="53"/>
      <c r="Q294" s="53"/>
      <c r="R294" s="53"/>
      <c r="S294" s="53"/>
      <c r="T294" s="53"/>
      <c r="U294" s="41"/>
      <c r="V294" s="38"/>
    </row>
    <row r="295" spans="1:22" ht="15.75" customHeight="1">
      <c r="A295" s="36"/>
      <c r="B295" s="90" t="s">
        <v>62</v>
      </c>
      <c r="C295" s="51">
        <v>43162</v>
      </c>
      <c r="D295" s="52" t="s">
        <v>73</v>
      </c>
      <c r="E295" s="50" t="s">
        <v>64</v>
      </c>
      <c r="F295" s="71" t="str">
        <f>'Super League - Men'!A20</f>
        <v>SLM-18</v>
      </c>
      <c r="G295" s="71" t="str">
        <f>'Super League - Men'!B20</f>
        <v>3rd Round</v>
      </c>
      <c r="H295" s="71" t="str">
        <f>'Super League - Men'!C20</f>
        <v>Aloysians Fire</v>
      </c>
      <c r="I295" s="71" t="str">
        <f>'Super League - Men'!D20</f>
        <v>Aloysians Ice</v>
      </c>
      <c r="J295" s="71">
        <f>'Super League - Men'!E20</f>
        <v>0</v>
      </c>
      <c r="K295" s="71">
        <f>'Super League - Men'!F20</f>
        <v>0</v>
      </c>
      <c r="L295" s="39"/>
      <c r="M295" s="40"/>
      <c r="N295" s="40"/>
      <c r="O295" s="53"/>
      <c r="P295" s="53"/>
      <c r="Q295" s="53"/>
      <c r="R295" s="53"/>
      <c r="S295" s="53"/>
      <c r="T295" s="53"/>
      <c r="U295" s="41"/>
      <c r="V295" s="38"/>
    </row>
    <row r="296" spans="1:22" ht="15.75" customHeight="1">
      <c r="A296" s="36"/>
      <c r="B296" s="37"/>
      <c r="C296" s="37"/>
      <c r="D296" s="48"/>
      <c r="E296" s="37"/>
      <c r="F296" s="37"/>
      <c r="G296" s="37"/>
      <c r="H296" s="37"/>
      <c r="I296" s="37"/>
      <c r="J296" s="37"/>
      <c r="K296" s="37"/>
      <c r="L296" s="39"/>
      <c r="M296" s="40"/>
      <c r="N296" s="40"/>
      <c r="O296" s="41"/>
      <c r="P296" s="41"/>
      <c r="Q296" s="41"/>
      <c r="R296" s="41"/>
      <c r="S296" s="41"/>
      <c r="T296" s="41"/>
      <c r="U296" s="41"/>
      <c r="V296" s="38"/>
    </row>
    <row r="297" spans="1:26" ht="15.75" customHeight="1">
      <c r="A297" s="36"/>
      <c r="B297" s="101" t="s">
        <v>68</v>
      </c>
      <c r="C297" s="102">
        <v>43163</v>
      </c>
      <c r="D297" s="103" t="s">
        <v>99</v>
      </c>
      <c r="E297" s="101" t="s">
        <v>64</v>
      </c>
      <c r="F297" s="104"/>
      <c r="G297" s="104" t="s">
        <v>100</v>
      </c>
      <c r="H297" s="148" t="s">
        <v>102</v>
      </c>
      <c r="I297" s="142"/>
      <c r="J297" s="142"/>
      <c r="K297" s="143"/>
      <c r="L297" s="39"/>
      <c r="M297" s="40"/>
      <c r="N297" s="40"/>
      <c r="O297" s="53"/>
      <c r="P297" s="53"/>
      <c r="Q297" s="53"/>
      <c r="R297" s="53"/>
      <c r="S297" s="53"/>
      <c r="T297" s="53"/>
      <c r="U297" s="41"/>
      <c r="V297" s="38"/>
      <c r="W297" s="38"/>
      <c r="X297" s="38"/>
      <c r="Y297" s="38"/>
      <c r="Z297" s="38"/>
    </row>
    <row r="298" spans="1:26" ht="7.5" customHeight="1">
      <c r="A298" s="36"/>
      <c r="B298" s="37"/>
      <c r="C298" s="58"/>
      <c r="D298" s="48"/>
      <c r="E298" s="37"/>
      <c r="F298" s="42"/>
      <c r="G298" s="42"/>
      <c r="H298" s="42"/>
      <c r="I298" s="42"/>
      <c r="J298" s="42"/>
      <c r="K298" s="42"/>
      <c r="L298" s="39"/>
      <c r="M298" s="40"/>
      <c r="N298" s="40"/>
      <c r="O298" s="53"/>
      <c r="P298" s="53"/>
      <c r="Q298" s="53"/>
      <c r="R298" s="53"/>
      <c r="S298" s="53"/>
      <c r="T298" s="53"/>
      <c r="U298" s="41"/>
      <c r="V298" s="38"/>
      <c r="W298" s="38"/>
      <c r="X298" s="38"/>
      <c r="Y298" s="38"/>
      <c r="Z298" s="38"/>
    </row>
    <row r="299" spans="1:22" ht="15.75" customHeight="1">
      <c r="A299" s="36"/>
      <c r="B299" s="67" t="s">
        <v>68</v>
      </c>
      <c r="C299" s="68">
        <v>43163</v>
      </c>
      <c r="D299" s="69" t="s">
        <v>66</v>
      </c>
      <c r="E299" s="67" t="s">
        <v>64</v>
      </c>
      <c r="F299" s="70" t="str">
        <f>'1st Division League - Women'!A36</f>
        <v>1LW-34</v>
      </c>
      <c r="G299" s="70" t="str">
        <f>'1st Division League - Women'!B36</f>
        <v>2nd Round</v>
      </c>
      <c r="H299" s="70" t="str">
        <f>'1st Division League - Women'!C36</f>
        <v>Swieqi Phoenix</v>
      </c>
      <c r="I299" s="70" t="str">
        <f>'1st Division League - Women'!D36</f>
        <v>Fleur de Lys Swatch</v>
      </c>
      <c r="J299" s="70">
        <f>'1st Division League - Women'!E36</f>
        <v>0</v>
      </c>
      <c r="K299" s="70">
        <f>'1st Division League - Women'!F36</f>
        <v>0</v>
      </c>
      <c r="L299" s="39"/>
      <c r="M299" s="40"/>
      <c r="N299" s="40"/>
      <c r="O299" s="53"/>
      <c r="P299" s="53"/>
      <c r="Q299" s="53"/>
      <c r="R299" s="53"/>
      <c r="S299" s="53"/>
      <c r="T299" s="53"/>
      <c r="U299" s="41"/>
      <c r="V299" s="38"/>
    </row>
    <row r="300" spans="1:22" ht="7.5" customHeight="1">
      <c r="A300" s="36"/>
      <c r="B300" s="37"/>
      <c r="C300" s="58"/>
      <c r="D300" s="48"/>
      <c r="E300" s="37"/>
      <c r="F300" s="42"/>
      <c r="G300" s="42"/>
      <c r="H300" s="42"/>
      <c r="I300" s="42"/>
      <c r="J300" s="42"/>
      <c r="K300" s="42"/>
      <c r="L300" s="39"/>
      <c r="M300" s="40"/>
      <c r="N300" s="40"/>
      <c r="O300" s="53"/>
      <c r="P300" s="53"/>
      <c r="Q300" s="53"/>
      <c r="R300" s="53"/>
      <c r="S300" s="53"/>
      <c r="T300" s="53"/>
      <c r="U300" s="41"/>
      <c r="V300" s="38"/>
    </row>
    <row r="301" spans="1:22" ht="15.75" customHeight="1">
      <c r="A301" s="36"/>
      <c r="B301" s="67" t="s">
        <v>68</v>
      </c>
      <c r="C301" s="68">
        <v>43163</v>
      </c>
      <c r="D301" s="69" t="s">
        <v>67</v>
      </c>
      <c r="E301" s="67" t="s">
        <v>64</v>
      </c>
      <c r="F301" s="70" t="str">
        <f>'1st Division League - Women'!A37</f>
        <v>1LW-35</v>
      </c>
      <c r="G301" s="70" t="str">
        <f>'1st Division League - Women'!B37</f>
        <v>2nd Round</v>
      </c>
      <c r="H301" s="70" t="str">
        <f>'1st Division League - Women'!C37</f>
        <v>Zabbar St. Patrick's</v>
      </c>
      <c r="I301" s="70" t="str">
        <f>'1st Division League - Women'!D37</f>
        <v>Birkirkara</v>
      </c>
      <c r="J301" s="70">
        <f>'1st Division League - Women'!E37</f>
        <v>0</v>
      </c>
      <c r="K301" s="70">
        <f>'1st Division League - Women'!F37</f>
        <v>0</v>
      </c>
      <c r="L301" s="39"/>
      <c r="M301" s="40"/>
      <c r="N301" s="40"/>
      <c r="O301" s="53"/>
      <c r="P301" s="53"/>
      <c r="Q301" s="53"/>
      <c r="R301" s="53"/>
      <c r="S301" s="53"/>
      <c r="T301" s="53"/>
      <c r="U301" s="41"/>
      <c r="V301" s="38"/>
    </row>
    <row r="302" spans="1:22" ht="7.5" customHeight="1">
      <c r="A302" s="36"/>
      <c r="B302" s="37"/>
      <c r="C302" s="58"/>
      <c r="D302" s="48"/>
      <c r="E302" s="37"/>
      <c r="F302" s="42"/>
      <c r="G302" s="42"/>
      <c r="H302" s="42"/>
      <c r="I302" s="42"/>
      <c r="J302" s="42"/>
      <c r="K302" s="42"/>
      <c r="L302" s="39"/>
      <c r="M302" s="40"/>
      <c r="N302" s="40"/>
      <c r="O302" s="53"/>
      <c r="P302" s="53"/>
      <c r="Q302" s="53"/>
      <c r="R302" s="53"/>
      <c r="S302" s="53"/>
      <c r="T302" s="53"/>
      <c r="U302" s="41"/>
      <c r="V302" s="38"/>
    </row>
    <row r="303" spans="1:22" ht="15.75" customHeight="1">
      <c r="A303" s="36"/>
      <c r="B303" s="67" t="s">
        <v>68</v>
      </c>
      <c r="C303" s="68">
        <v>43163</v>
      </c>
      <c r="D303" s="69" t="s">
        <v>73</v>
      </c>
      <c r="E303" s="67" t="s">
        <v>64</v>
      </c>
      <c r="F303" s="70" t="str">
        <f>'1st Division League - Women'!A38</f>
        <v>1LW-36</v>
      </c>
      <c r="G303" s="70" t="str">
        <f>'1st Division League - Women'!B38</f>
        <v>2nd Round</v>
      </c>
      <c r="H303" s="70" t="str">
        <f>'1st Division League - Women'!C38</f>
        <v>Balzan Flyers</v>
      </c>
      <c r="I303" s="70" t="str">
        <f>'1st Division League - Women'!D38</f>
        <v>Mellieha</v>
      </c>
      <c r="J303" s="70">
        <f>'1st Division League - Women'!E38</f>
        <v>0</v>
      </c>
      <c r="K303" s="70">
        <f>'1st Division League - Women'!F38</f>
        <v>0</v>
      </c>
      <c r="L303" s="39"/>
      <c r="M303" s="40"/>
      <c r="N303" s="40"/>
      <c r="O303" s="53"/>
      <c r="P303" s="53"/>
      <c r="Q303" s="53"/>
      <c r="R303" s="53"/>
      <c r="S303" s="53"/>
      <c r="T303" s="53"/>
      <c r="U303" s="41"/>
      <c r="V303" s="38"/>
    </row>
    <row r="304" spans="1:22" ht="15.75" customHeight="1">
      <c r="A304" s="36"/>
      <c r="B304" s="37"/>
      <c r="C304" s="37"/>
      <c r="D304" s="48"/>
      <c r="E304" s="37"/>
      <c r="F304" s="37"/>
      <c r="G304" s="37"/>
      <c r="H304" s="37"/>
      <c r="I304" s="37"/>
      <c r="J304" s="37"/>
      <c r="K304" s="37"/>
      <c r="L304" s="39"/>
      <c r="M304" s="40"/>
      <c r="N304" s="40"/>
      <c r="O304" s="41"/>
      <c r="P304" s="41"/>
      <c r="Q304" s="41"/>
      <c r="R304" s="41"/>
      <c r="S304" s="41"/>
      <c r="T304" s="41"/>
      <c r="U304" s="41"/>
      <c r="V304" s="38"/>
    </row>
    <row r="305" spans="1:21" s="38" customFormat="1" ht="15.75" customHeight="1">
      <c r="A305" s="36"/>
      <c r="B305" s="72" t="s">
        <v>75</v>
      </c>
      <c r="C305" s="73">
        <v>43042</v>
      </c>
      <c r="D305" s="74" t="s">
        <v>76</v>
      </c>
      <c r="E305" s="72" t="s">
        <v>64</v>
      </c>
      <c r="F305" s="109" t="str">
        <f>'Super League - Women'!A5</f>
        <v>SLW-03</v>
      </c>
      <c r="G305" s="109" t="str">
        <f>'Super League - Women'!B5</f>
        <v>1st Round</v>
      </c>
      <c r="H305" s="109" t="str">
        <f>'Super League - Women'!C5</f>
        <v>Balzan Flyers Crosscraft</v>
      </c>
      <c r="I305" s="109" t="str">
        <f>'Super League - Women'!D5</f>
        <v>Fleur de Lys Royal Panda</v>
      </c>
      <c r="J305" s="109">
        <f>'Super League - Women'!E5</f>
        <v>0</v>
      </c>
      <c r="K305" s="109">
        <f>'Super League - Women'!F5</f>
        <v>0</v>
      </c>
      <c r="L305" s="76"/>
      <c r="M305" s="40"/>
      <c r="N305" s="40"/>
      <c r="O305" s="53"/>
      <c r="P305" s="53"/>
      <c r="Q305" s="53"/>
      <c r="R305" s="53"/>
      <c r="S305" s="53"/>
      <c r="T305" s="53"/>
      <c r="U305" s="41"/>
    </row>
    <row r="306" spans="1:21" s="38" customFormat="1" ht="15.75" customHeight="1">
      <c r="A306" s="36"/>
      <c r="B306" s="37"/>
      <c r="C306" s="37"/>
      <c r="D306" s="48"/>
      <c r="E306" s="37"/>
      <c r="F306" s="37"/>
      <c r="G306" s="37"/>
      <c r="H306" s="37"/>
      <c r="I306" s="37"/>
      <c r="J306" s="37"/>
      <c r="K306" s="37"/>
      <c r="L306" s="39"/>
      <c r="M306" s="40"/>
      <c r="N306" s="40"/>
      <c r="O306" s="41"/>
      <c r="P306" s="41"/>
      <c r="Q306" s="41"/>
      <c r="R306" s="41"/>
      <c r="S306" s="41"/>
      <c r="T306" s="41"/>
      <c r="U306" s="41"/>
    </row>
    <row r="307" spans="1:22" ht="15.75" customHeight="1">
      <c r="A307" s="36"/>
      <c r="B307" s="67" t="s">
        <v>62</v>
      </c>
      <c r="C307" s="68">
        <v>43169</v>
      </c>
      <c r="D307" s="69" t="s">
        <v>66</v>
      </c>
      <c r="E307" s="67" t="s">
        <v>64</v>
      </c>
      <c r="F307" s="70" t="str">
        <f>'1st Division League - Women'!A39</f>
        <v>1LW-37</v>
      </c>
      <c r="G307" s="70" t="str">
        <f>'1st Division League - Women'!B39</f>
        <v>2nd Round</v>
      </c>
      <c r="H307" s="70" t="str">
        <f>'1st Division League - Women'!C39</f>
        <v>Birkirkara</v>
      </c>
      <c r="I307" s="70" t="str">
        <f>'1st Division League - Women'!D39</f>
        <v>Swieqi Phoenix</v>
      </c>
      <c r="J307" s="70">
        <f>'1st Division League - Women'!E39</f>
        <v>0</v>
      </c>
      <c r="K307" s="70">
        <f>'1st Division League - Women'!F39</f>
        <v>0</v>
      </c>
      <c r="L307" s="39"/>
      <c r="M307" s="40"/>
      <c r="N307" s="40"/>
      <c r="O307" s="53"/>
      <c r="P307" s="53"/>
      <c r="Q307" s="53"/>
      <c r="R307" s="53"/>
      <c r="S307" s="53"/>
      <c r="T307" s="53"/>
      <c r="U307" s="41"/>
      <c r="V307" s="38"/>
    </row>
    <row r="308" spans="1:22" ht="7.5" customHeight="1">
      <c r="A308" s="36"/>
      <c r="B308" s="37"/>
      <c r="C308" s="58"/>
      <c r="D308" s="48"/>
      <c r="E308" s="37"/>
      <c r="F308" s="42"/>
      <c r="G308" s="42"/>
      <c r="H308" s="42"/>
      <c r="I308" s="42"/>
      <c r="J308" s="42"/>
      <c r="K308" s="42"/>
      <c r="L308" s="39"/>
      <c r="M308" s="40"/>
      <c r="N308" s="40"/>
      <c r="O308" s="53"/>
      <c r="P308" s="53"/>
      <c r="Q308" s="53"/>
      <c r="R308" s="53"/>
      <c r="S308" s="53"/>
      <c r="T308" s="53"/>
      <c r="U308" s="41"/>
      <c r="V308" s="38"/>
    </row>
    <row r="309" spans="1:22" ht="15.75" customHeight="1">
      <c r="A309" s="36"/>
      <c r="B309" s="67" t="s">
        <v>62</v>
      </c>
      <c r="C309" s="68">
        <v>43169</v>
      </c>
      <c r="D309" s="69" t="s">
        <v>67</v>
      </c>
      <c r="E309" s="67" t="s">
        <v>64</v>
      </c>
      <c r="F309" s="70" t="str">
        <f>'1st Division League - Women'!A40</f>
        <v>1LW-38</v>
      </c>
      <c r="G309" s="70" t="str">
        <f>'1st Division League - Women'!B40</f>
        <v>2nd Round</v>
      </c>
      <c r="H309" s="70" t="str">
        <f>'1st Division League - Women'!C40</f>
        <v>Fleur de Lys Swatch</v>
      </c>
      <c r="I309" s="70" t="str">
        <f>'1st Division League - Women'!D40</f>
        <v>Zabbar St. Patrick's</v>
      </c>
      <c r="J309" s="70">
        <f>'1st Division League - Women'!E40</f>
        <v>0</v>
      </c>
      <c r="K309" s="70">
        <f>'1st Division League - Women'!F40</f>
        <v>0</v>
      </c>
      <c r="L309" s="39"/>
      <c r="M309" s="40"/>
      <c r="N309" s="40"/>
      <c r="O309" s="53"/>
      <c r="P309" s="53"/>
      <c r="Q309" s="53"/>
      <c r="R309" s="53"/>
      <c r="S309" s="53"/>
      <c r="T309" s="53"/>
      <c r="U309" s="41"/>
      <c r="V309" s="38"/>
    </row>
    <row r="310" spans="1:22" ht="7.5" customHeight="1">
      <c r="A310" s="36"/>
      <c r="B310" s="37"/>
      <c r="C310" s="58"/>
      <c r="D310" s="48"/>
      <c r="E310" s="37"/>
      <c r="F310" s="42"/>
      <c r="G310" s="42"/>
      <c r="H310" s="42"/>
      <c r="I310" s="42"/>
      <c r="J310" s="42"/>
      <c r="K310" s="42"/>
      <c r="L310" s="39"/>
      <c r="M310" s="40"/>
      <c r="N310" s="40"/>
      <c r="O310" s="53"/>
      <c r="P310" s="53"/>
      <c r="Q310" s="53"/>
      <c r="R310" s="53"/>
      <c r="S310" s="53"/>
      <c r="T310" s="53"/>
      <c r="U310" s="41"/>
      <c r="V310" s="38"/>
    </row>
    <row r="311" spans="1:22" ht="15.75" customHeight="1">
      <c r="A311" s="36"/>
      <c r="B311" s="67" t="s">
        <v>62</v>
      </c>
      <c r="C311" s="68">
        <v>43169</v>
      </c>
      <c r="D311" s="69" t="s">
        <v>73</v>
      </c>
      <c r="E311" s="67" t="s">
        <v>64</v>
      </c>
      <c r="F311" s="70" t="str">
        <f>'1st Division League - Women'!A41</f>
        <v>1LW-39</v>
      </c>
      <c r="G311" s="70" t="str">
        <f>'1st Division League - Women'!B41</f>
        <v>2nd Round</v>
      </c>
      <c r="H311" s="70" t="str">
        <f>'1st Division League - Women'!C41</f>
        <v>Mgarr Volley</v>
      </c>
      <c r="I311" s="70" t="str">
        <f>'1st Division League - Women'!D41</f>
        <v>Balzan Flyers</v>
      </c>
      <c r="J311" s="70">
        <f>'1st Division League - Women'!E41</f>
        <v>0</v>
      </c>
      <c r="K311" s="70">
        <f>'1st Division League - Women'!F41</f>
        <v>0</v>
      </c>
      <c r="L311" s="39"/>
      <c r="M311" s="40"/>
      <c r="N311" s="40"/>
      <c r="O311" s="53"/>
      <c r="P311" s="53"/>
      <c r="Q311" s="53"/>
      <c r="R311" s="53"/>
      <c r="S311" s="53"/>
      <c r="T311" s="53"/>
      <c r="U311" s="41"/>
      <c r="V311" s="38"/>
    </row>
    <row r="312" spans="1:22" ht="15.75" customHeight="1">
      <c r="A312" s="36"/>
      <c r="B312" s="37"/>
      <c r="C312" s="37"/>
      <c r="D312" s="48"/>
      <c r="E312" s="37"/>
      <c r="F312" s="37"/>
      <c r="G312" s="37"/>
      <c r="H312" s="37"/>
      <c r="I312" s="37"/>
      <c r="J312" s="37"/>
      <c r="K312" s="37"/>
      <c r="L312" s="39"/>
      <c r="M312" s="40"/>
      <c r="N312" s="40"/>
      <c r="O312" s="41"/>
      <c r="P312" s="41"/>
      <c r="Q312" s="41"/>
      <c r="R312" s="41"/>
      <c r="S312" s="41"/>
      <c r="T312" s="41"/>
      <c r="U312" s="41"/>
      <c r="V312" s="38"/>
    </row>
    <row r="313" spans="1:26" ht="15.75" customHeight="1">
      <c r="A313" s="36"/>
      <c r="B313" s="96" t="s">
        <v>68</v>
      </c>
      <c r="C313" s="97">
        <v>42805</v>
      </c>
      <c r="D313" s="98" t="s">
        <v>99</v>
      </c>
      <c r="E313" s="96" t="s">
        <v>64</v>
      </c>
      <c r="F313" s="99"/>
      <c r="G313" s="99" t="s">
        <v>106</v>
      </c>
      <c r="H313" s="149" t="s">
        <v>98</v>
      </c>
      <c r="I313" s="142"/>
      <c r="J313" s="142"/>
      <c r="K313" s="143"/>
      <c r="L313" s="39"/>
      <c r="M313" s="40"/>
      <c r="N313" s="40"/>
      <c r="O313" s="53"/>
      <c r="P313" s="53"/>
      <c r="Q313" s="53"/>
      <c r="R313" s="53"/>
      <c r="S313" s="53"/>
      <c r="T313" s="53"/>
      <c r="U313" s="41"/>
      <c r="V313" s="38"/>
      <c r="W313" s="38"/>
      <c r="X313" s="38"/>
      <c r="Y313" s="38"/>
      <c r="Z313" s="38"/>
    </row>
    <row r="314" spans="1:26" ht="7.5" customHeight="1">
      <c r="A314" s="36"/>
      <c r="B314" s="37"/>
      <c r="C314" s="58"/>
      <c r="D314" s="48"/>
      <c r="E314" s="37"/>
      <c r="F314" s="42"/>
      <c r="G314" s="42"/>
      <c r="H314" s="42"/>
      <c r="I314" s="42"/>
      <c r="J314" s="42"/>
      <c r="K314" s="42"/>
      <c r="L314" s="39"/>
      <c r="M314" s="40"/>
      <c r="N314" s="40"/>
      <c r="O314" s="53"/>
      <c r="P314" s="53"/>
      <c r="Q314" s="53"/>
      <c r="R314" s="53"/>
      <c r="S314" s="53"/>
      <c r="T314" s="53"/>
      <c r="U314" s="41"/>
      <c r="V314" s="38"/>
      <c r="W314" s="38"/>
      <c r="X314" s="38"/>
      <c r="Y314" s="38"/>
      <c r="Z314" s="38"/>
    </row>
    <row r="315" spans="1:22" ht="15.75" customHeight="1">
      <c r="A315" s="36"/>
      <c r="B315" s="72" t="s">
        <v>68</v>
      </c>
      <c r="C315" s="73">
        <v>43170</v>
      </c>
      <c r="D315" s="74" t="s">
        <v>66</v>
      </c>
      <c r="E315" s="72" t="s">
        <v>64</v>
      </c>
      <c r="F315" s="75" t="str">
        <f>'Super League - Women'!A29</f>
        <v>SLW-27</v>
      </c>
      <c r="G315" s="75" t="str">
        <f>'Super League - Women'!B29</f>
        <v>3rd Round</v>
      </c>
      <c r="H315" s="75" t="str">
        <f>'Super League - Women'!C29</f>
        <v>Sliema Wanderers</v>
      </c>
      <c r="I315" s="75" t="str">
        <f>'Super League - Women'!D29</f>
        <v>Fleur de Lys Royal Panda</v>
      </c>
      <c r="J315" s="75">
        <f>'Super League - Women'!E29</f>
        <v>0</v>
      </c>
      <c r="K315" s="75">
        <f>'Super League - Women'!F29</f>
        <v>0</v>
      </c>
      <c r="L315" s="39"/>
      <c r="M315" s="40"/>
      <c r="N315" s="40"/>
      <c r="O315" s="53"/>
      <c r="P315" s="53"/>
      <c r="Q315" s="53"/>
      <c r="R315" s="53"/>
      <c r="S315" s="53"/>
      <c r="T315" s="53"/>
      <c r="U315" s="41"/>
      <c r="V315" s="38"/>
    </row>
    <row r="316" spans="1:22" ht="7.5" customHeight="1">
      <c r="A316" s="36"/>
      <c r="B316" s="37"/>
      <c r="C316" s="58"/>
      <c r="D316" s="48"/>
      <c r="E316" s="37"/>
      <c r="F316" s="42"/>
      <c r="G316" s="42"/>
      <c r="H316" s="42"/>
      <c r="I316" s="42"/>
      <c r="J316" s="42"/>
      <c r="K316" s="42"/>
      <c r="L316" s="39"/>
      <c r="M316" s="40"/>
      <c r="N316" s="40"/>
      <c r="O316" s="53"/>
      <c r="P316" s="53"/>
      <c r="Q316" s="53"/>
      <c r="R316" s="53"/>
      <c r="S316" s="53"/>
      <c r="T316" s="53"/>
      <c r="U316" s="41"/>
      <c r="V316" s="38"/>
    </row>
    <row r="317" spans="1:22" ht="15.75" customHeight="1">
      <c r="A317" s="36"/>
      <c r="B317" s="72" t="s">
        <v>68</v>
      </c>
      <c r="C317" s="73">
        <v>43170</v>
      </c>
      <c r="D317" s="74" t="s">
        <v>67</v>
      </c>
      <c r="E317" s="72" t="s">
        <v>64</v>
      </c>
      <c r="F317" s="75" t="str">
        <f>'Super League - Women'!A30</f>
        <v>SLW-28</v>
      </c>
      <c r="G317" s="75" t="str">
        <f>'Super League - Women'!B30</f>
        <v>3rd Round</v>
      </c>
      <c r="H317" s="75" t="str">
        <f>'Super League - Women'!C30</f>
        <v>Kavallieri</v>
      </c>
      <c r="I317" s="75" t="str">
        <f>'Super League - Women'!D30</f>
        <v>Balzan Flyers Crosscraft</v>
      </c>
      <c r="J317" s="75">
        <f>'Super League - Women'!E30</f>
        <v>0</v>
      </c>
      <c r="K317" s="75">
        <f>'Super League - Women'!F30</f>
        <v>0</v>
      </c>
      <c r="L317" s="39"/>
      <c r="M317" s="40"/>
      <c r="N317" s="40"/>
      <c r="O317" s="53"/>
      <c r="P317" s="53"/>
      <c r="Q317" s="53"/>
      <c r="R317" s="53"/>
      <c r="S317" s="53"/>
      <c r="T317" s="53"/>
      <c r="U317" s="41"/>
      <c r="V317" s="38"/>
    </row>
    <row r="318" spans="1:22" ht="7.5" customHeight="1">
      <c r="A318" s="36"/>
      <c r="B318" s="37"/>
      <c r="C318" s="58"/>
      <c r="D318" s="48"/>
      <c r="E318" s="37"/>
      <c r="F318" s="42"/>
      <c r="G318" s="42"/>
      <c r="H318" s="42"/>
      <c r="I318" s="42"/>
      <c r="J318" s="42"/>
      <c r="K318" s="42"/>
      <c r="L318" s="39"/>
      <c r="M318" s="40"/>
      <c r="N318" s="40"/>
      <c r="O318" s="53"/>
      <c r="P318" s="53"/>
      <c r="Q318" s="53"/>
      <c r="R318" s="53"/>
      <c r="S318" s="53"/>
      <c r="T318" s="53"/>
      <c r="U318" s="41"/>
      <c r="V318" s="38"/>
    </row>
    <row r="319" spans="1:22" ht="15.75" customHeight="1">
      <c r="A319" s="36"/>
      <c r="B319" s="90" t="s">
        <v>68</v>
      </c>
      <c r="C319" s="51">
        <v>43170</v>
      </c>
      <c r="D319" s="52" t="s">
        <v>73</v>
      </c>
      <c r="E319" s="50" t="s">
        <v>64</v>
      </c>
      <c r="F319" s="71" t="str">
        <f>'Super League - Men'!A21</f>
        <v>SLM-19</v>
      </c>
      <c r="G319" s="71" t="str">
        <f>'Super League - Men'!B21</f>
        <v>4th Round</v>
      </c>
      <c r="H319" s="71" t="str">
        <f>'Super League - Men'!C21</f>
        <v>Mgarr Volley</v>
      </c>
      <c r="I319" s="71" t="str">
        <f>'Super League - Men'!D21</f>
        <v>Aloysians Ice</v>
      </c>
      <c r="J319" s="71">
        <f>'Super League - Men'!E21</f>
        <v>0</v>
      </c>
      <c r="K319" s="71">
        <f>'Super League - Men'!F21</f>
        <v>0</v>
      </c>
      <c r="L319" s="39"/>
      <c r="M319" s="40"/>
      <c r="N319" s="40"/>
      <c r="O319" s="53"/>
      <c r="P319" s="53"/>
      <c r="Q319" s="53"/>
      <c r="R319" s="53"/>
      <c r="S319" s="53"/>
      <c r="T319" s="53"/>
      <c r="U319" s="41"/>
      <c r="V319" s="38"/>
    </row>
    <row r="320" spans="1:22" ht="15.75" customHeight="1">
      <c r="A320" s="36"/>
      <c r="B320" s="37"/>
      <c r="C320" s="37"/>
      <c r="D320" s="48"/>
      <c r="E320" s="37"/>
      <c r="F320" s="37"/>
      <c r="G320" s="37"/>
      <c r="H320" s="37"/>
      <c r="I320" s="37"/>
      <c r="J320" s="37"/>
      <c r="K320" s="37"/>
      <c r="L320" s="39"/>
      <c r="M320" s="40"/>
      <c r="N320" s="40"/>
      <c r="O320" s="41"/>
      <c r="P320" s="41"/>
      <c r="Q320" s="41"/>
      <c r="R320" s="41"/>
      <c r="S320" s="41"/>
      <c r="T320" s="41"/>
      <c r="U320" s="41"/>
      <c r="V320" s="38"/>
    </row>
    <row r="321" spans="1:22" ht="15.75" customHeight="1">
      <c r="A321" s="36"/>
      <c r="B321" s="67" t="s">
        <v>62</v>
      </c>
      <c r="C321" s="68">
        <v>43176</v>
      </c>
      <c r="D321" s="69" t="s">
        <v>66</v>
      </c>
      <c r="E321" s="67" t="s">
        <v>64</v>
      </c>
      <c r="F321" s="70" t="str">
        <f>'1st Division League - Women'!A42</f>
        <v>1LW-40</v>
      </c>
      <c r="G321" s="70" t="str">
        <f>'1st Division League - Women'!B42</f>
        <v>2nd Round</v>
      </c>
      <c r="H321" s="70" t="str">
        <f>'1st Division League - Women'!C42</f>
        <v>Swieqi Phoenix</v>
      </c>
      <c r="I321" s="70" t="str">
        <f>'1st Division League - Women'!D42</f>
        <v>Zabbar St. Patrick's</v>
      </c>
      <c r="J321" s="70">
        <f>'1st Division League - Women'!E42</f>
        <v>0</v>
      </c>
      <c r="K321" s="70">
        <f>'1st Division League - Women'!F42</f>
        <v>0</v>
      </c>
      <c r="L321" s="39"/>
      <c r="M321" s="40"/>
      <c r="N321" s="40"/>
      <c r="O321" s="53"/>
      <c r="P321" s="53"/>
      <c r="Q321" s="53"/>
      <c r="R321" s="53"/>
      <c r="S321" s="53"/>
      <c r="T321" s="53"/>
      <c r="U321" s="41"/>
      <c r="V321" s="38"/>
    </row>
    <row r="322" spans="1:22" ht="7.5" customHeight="1">
      <c r="A322" s="36"/>
      <c r="B322" s="37"/>
      <c r="C322" s="58"/>
      <c r="D322" s="48"/>
      <c r="E322" s="37"/>
      <c r="F322" s="42"/>
      <c r="G322" s="42"/>
      <c r="H322" s="42"/>
      <c r="I322" s="42"/>
      <c r="J322" s="42"/>
      <c r="K322" s="42"/>
      <c r="L322" s="39"/>
      <c r="M322" s="40"/>
      <c r="N322" s="40"/>
      <c r="O322" s="53"/>
      <c r="P322" s="53"/>
      <c r="Q322" s="53"/>
      <c r="R322" s="53"/>
      <c r="S322" s="53"/>
      <c r="T322" s="53"/>
      <c r="U322" s="41"/>
      <c r="V322" s="38"/>
    </row>
    <row r="323" spans="1:22" ht="15.75" customHeight="1">
      <c r="A323" s="36"/>
      <c r="B323" s="67" t="s">
        <v>62</v>
      </c>
      <c r="C323" s="68">
        <v>43176</v>
      </c>
      <c r="D323" s="69" t="s">
        <v>67</v>
      </c>
      <c r="E323" s="67" t="s">
        <v>64</v>
      </c>
      <c r="F323" s="70" t="str">
        <f>'1st Division League - Women'!A43</f>
        <v>1LW-41</v>
      </c>
      <c r="G323" s="70" t="str">
        <f>'1st Division League - Women'!B43</f>
        <v>2nd Round</v>
      </c>
      <c r="H323" s="70" t="str">
        <f>'1st Division League - Women'!C43</f>
        <v>Fleur de Lys Swatch</v>
      </c>
      <c r="I323" s="70" t="str">
        <f>'1st Division League - Women'!D43</f>
        <v>Birkirkara</v>
      </c>
      <c r="J323" s="70">
        <f>'1st Division League - Women'!E43</f>
        <v>0</v>
      </c>
      <c r="K323" s="70">
        <f>'1st Division League - Women'!F43</f>
        <v>0</v>
      </c>
      <c r="L323" s="39"/>
      <c r="M323" s="40"/>
      <c r="N323" s="40"/>
      <c r="O323" s="53"/>
      <c r="P323" s="53"/>
      <c r="Q323" s="53"/>
      <c r="R323" s="53"/>
      <c r="S323" s="53"/>
      <c r="T323" s="53"/>
      <c r="U323" s="41"/>
      <c r="V323" s="38"/>
    </row>
    <row r="324" spans="1:22" ht="7.5" customHeight="1">
      <c r="A324" s="36"/>
      <c r="B324" s="37"/>
      <c r="C324" s="58"/>
      <c r="D324" s="48"/>
      <c r="E324" s="37"/>
      <c r="F324" s="42"/>
      <c r="G324" s="42"/>
      <c r="H324" s="42"/>
      <c r="I324" s="42"/>
      <c r="J324" s="42"/>
      <c r="K324" s="42"/>
      <c r="L324" s="39"/>
      <c r="M324" s="40"/>
      <c r="N324" s="40"/>
      <c r="O324" s="53"/>
      <c r="P324" s="53"/>
      <c r="Q324" s="53"/>
      <c r="R324" s="53"/>
      <c r="S324" s="53"/>
      <c r="T324" s="53"/>
      <c r="U324" s="41"/>
      <c r="V324" s="38"/>
    </row>
    <row r="325" spans="1:22" ht="15.75" customHeight="1">
      <c r="A325" s="36"/>
      <c r="B325" s="67" t="s">
        <v>62</v>
      </c>
      <c r="C325" s="68">
        <v>43176</v>
      </c>
      <c r="D325" s="69" t="s">
        <v>73</v>
      </c>
      <c r="E325" s="67" t="s">
        <v>64</v>
      </c>
      <c r="F325" s="70" t="str">
        <f>'1st Division League - Women'!A44</f>
        <v>1LW-42</v>
      </c>
      <c r="G325" s="70" t="str">
        <f>'1st Division League - Women'!B44</f>
        <v>2nd Round</v>
      </c>
      <c r="H325" s="70" t="str">
        <f>'1st Division League - Women'!C44</f>
        <v>Mellieha</v>
      </c>
      <c r="I325" s="70" t="str">
        <f>'1st Division League - Women'!D44</f>
        <v>Mgarr Volley</v>
      </c>
      <c r="J325" s="70">
        <f>'1st Division League - Women'!E44</f>
        <v>0</v>
      </c>
      <c r="K325" s="70">
        <f>'1st Division League - Women'!F44</f>
        <v>0</v>
      </c>
      <c r="L325" s="39"/>
      <c r="M325" s="40"/>
      <c r="N325" s="40"/>
      <c r="O325" s="53"/>
      <c r="P325" s="53"/>
      <c r="Q325" s="53"/>
      <c r="R325" s="53"/>
      <c r="S325" s="53"/>
      <c r="T325" s="53"/>
      <c r="U325" s="41"/>
      <c r="V325" s="38"/>
    </row>
    <row r="326" spans="1:22" ht="15.75" customHeight="1">
      <c r="A326" s="36"/>
      <c r="B326" s="37"/>
      <c r="C326" s="37"/>
      <c r="D326" s="48"/>
      <c r="E326" s="37"/>
      <c r="F326" s="37"/>
      <c r="G326" s="37"/>
      <c r="H326" s="37"/>
      <c r="I326" s="37"/>
      <c r="J326" s="37"/>
      <c r="K326" s="37"/>
      <c r="L326" s="39"/>
      <c r="M326" s="40"/>
      <c r="N326" s="40"/>
      <c r="O326" s="41"/>
      <c r="P326" s="41"/>
      <c r="Q326" s="41"/>
      <c r="R326" s="41"/>
      <c r="S326" s="41"/>
      <c r="T326" s="41"/>
      <c r="U326" s="41"/>
      <c r="V326" s="38"/>
    </row>
    <row r="327" spans="1:26" ht="15.75" customHeight="1">
      <c r="A327" s="36"/>
      <c r="B327" s="101" t="s">
        <v>68</v>
      </c>
      <c r="C327" s="102">
        <v>43177</v>
      </c>
      <c r="D327" s="103" t="s">
        <v>99</v>
      </c>
      <c r="E327" s="101" t="s">
        <v>64</v>
      </c>
      <c r="F327" s="104"/>
      <c r="G327" s="104" t="s">
        <v>104</v>
      </c>
      <c r="H327" s="148" t="s">
        <v>102</v>
      </c>
      <c r="I327" s="142"/>
      <c r="J327" s="142"/>
      <c r="K327" s="143"/>
      <c r="L327" s="39"/>
      <c r="M327" s="40"/>
      <c r="N327" s="40"/>
      <c r="O327" s="53"/>
      <c r="P327" s="53"/>
      <c r="Q327" s="53"/>
      <c r="R327" s="53"/>
      <c r="S327" s="53"/>
      <c r="T327" s="53"/>
      <c r="U327" s="41"/>
      <c r="V327" s="38"/>
      <c r="W327" s="38"/>
      <c r="X327" s="38"/>
      <c r="Y327" s="38"/>
      <c r="Z327" s="38"/>
    </row>
    <row r="328" spans="1:26" ht="7.5" customHeight="1">
      <c r="A328" s="36"/>
      <c r="B328" s="37"/>
      <c r="C328" s="58"/>
      <c r="D328" s="48"/>
      <c r="E328" s="37"/>
      <c r="F328" s="42"/>
      <c r="G328" s="42"/>
      <c r="H328" s="42"/>
      <c r="I328" s="42"/>
      <c r="J328" s="42"/>
      <c r="K328" s="42"/>
      <c r="L328" s="39"/>
      <c r="M328" s="40"/>
      <c r="N328" s="40"/>
      <c r="O328" s="53"/>
      <c r="P328" s="53"/>
      <c r="Q328" s="53"/>
      <c r="R328" s="53"/>
      <c r="S328" s="53"/>
      <c r="T328" s="53"/>
      <c r="U328" s="41"/>
      <c r="V328" s="38"/>
      <c r="W328" s="38"/>
      <c r="X328" s="38"/>
      <c r="Y328" s="38"/>
      <c r="Z328" s="38"/>
    </row>
    <row r="329" spans="1:22" ht="15.75" customHeight="1">
      <c r="A329" s="36"/>
      <c r="B329" s="72" t="s">
        <v>68</v>
      </c>
      <c r="C329" s="73">
        <v>43177</v>
      </c>
      <c r="D329" s="74" t="s">
        <v>66</v>
      </c>
      <c r="E329" s="72" t="s">
        <v>64</v>
      </c>
      <c r="F329" s="75" t="str">
        <f>'Super League - Women'!A31</f>
        <v>SLW-29</v>
      </c>
      <c r="G329" s="75" t="str">
        <f>'Super League - Women'!B31</f>
        <v>3rd Round</v>
      </c>
      <c r="H329" s="75" t="str">
        <f>'Super League - Women'!C31</f>
        <v>Paola Volley</v>
      </c>
      <c r="I329" s="75" t="str">
        <f>'Super League - Women'!D31</f>
        <v>Kavallieri</v>
      </c>
      <c r="J329" s="75">
        <f>'Super League - Women'!E31</f>
        <v>0</v>
      </c>
      <c r="K329" s="75">
        <f>'Super League - Women'!F31</f>
        <v>0</v>
      </c>
      <c r="L329" s="39"/>
      <c r="M329" s="40"/>
      <c r="N329" s="40"/>
      <c r="O329" s="53"/>
      <c r="P329" s="53"/>
      <c r="Q329" s="53"/>
      <c r="R329" s="53"/>
      <c r="S329" s="53"/>
      <c r="T329" s="53"/>
      <c r="U329" s="41"/>
      <c r="V329" s="38"/>
    </row>
    <row r="330" spans="1:22" ht="7.5" customHeight="1">
      <c r="A330" s="36"/>
      <c r="B330" s="37"/>
      <c r="C330" s="58"/>
      <c r="D330" s="48"/>
      <c r="E330" s="37"/>
      <c r="F330" s="42"/>
      <c r="G330" s="42"/>
      <c r="H330" s="42"/>
      <c r="I330" s="42"/>
      <c r="J330" s="42"/>
      <c r="K330" s="42"/>
      <c r="L330" s="39"/>
      <c r="M330" s="40"/>
      <c r="N330" s="40"/>
      <c r="O330" s="53"/>
      <c r="P330" s="53"/>
      <c r="Q330" s="53"/>
      <c r="R330" s="53"/>
      <c r="S330" s="53"/>
      <c r="T330" s="53"/>
      <c r="U330" s="41"/>
      <c r="V330" s="38"/>
    </row>
    <row r="331" spans="1:22" ht="15.75">
      <c r="A331" s="36"/>
      <c r="B331" s="72" t="s">
        <v>68</v>
      </c>
      <c r="C331" s="73">
        <v>43177</v>
      </c>
      <c r="D331" s="74" t="s">
        <v>67</v>
      </c>
      <c r="E331" s="72" t="s">
        <v>64</v>
      </c>
      <c r="F331" s="75" t="str">
        <f>'Super League - Women'!A32</f>
        <v>SLW-30</v>
      </c>
      <c r="G331" s="75" t="str">
        <f>'Super League - Women'!B32</f>
        <v>3rd Round</v>
      </c>
      <c r="H331" s="75" t="str">
        <f>'Super League - Women'!C32</f>
        <v>Balzan Flyers Crosscraft</v>
      </c>
      <c r="I331" s="75" t="str">
        <f>'Super League - Women'!D32</f>
        <v>Sliema Wanderers</v>
      </c>
      <c r="J331" s="75">
        <f>'Super League - Women'!E32</f>
        <v>0</v>
      </c>
      <c r="K331" s="75">
        <f>'Super League - Women'!F32</f>
        <v>0</v>
      </c>
      <c r="L331" s="39"/>
      <c r="M331" s="40"/>
      <c r="N331" s="40"/>
      <c r="O331" s="53"/>
      <c r="P331" s="53"/>
      <c r="Q331" s="53"/>
      <c r="R331" s="53"/>
      <c r="S331" s="53"/>
      <c r="T331" s="53"/>
      <c r="U331" s="41"/>
      <c r="V331" s="38"/>
    </row>
    <row r="332" spans="1:22" ht="7.5" customHeight="1">
      <c r="A332" s="36"/>
      <c r="B332" s="37"/>
      <c r="C332" s="58"/>
      <c r="D332" s="48"/>
      <c r="E332" s="37"/>
      <c r="F332" s="42"/>
      <c r="G332" s="42"/>
      <c r="H332" s="42"/>
      <c r="I332" s="42"/>
      <c r="J332" s="42"/>
      <c r="K332" s="42"/>
      <c r="L332" s="39"/>
      <c r="M332" s="40"/>
      <c r="N332" s="40"/>
      <c r="O332" s="53"/>
      <c r="P332" s="53"/>
      <c r="Q332" s="53"/>
      <c r="R332" s="53"/>
      <c r="S332" s="53"/>
      <c r="T332" s="53"/>
      <c r="U332" s="41"/>
      <c r="V332" s="38"/>
    </row>
    <row r="333" spans="1:22" ht="15.75" customHeight="1">
      <c r="A333" s="36"/>
      <c r="B333" s="90" t="s">
        <v>68</v>
      </c>
      <c r="C333" s="51">
        <v>43177</v>
      </c>
      <c r="D333" s="52" t="s">
        <v>73</v>
      </c>
      <c r="E333" s="50" t="s">
        <v>64</v>
      </c>
      <c r="F333" s="71" t="str">
        <f>'Super League - Men'!A22</f>
        <v>SLM-20</v>
      </c>
      <c r="G333" s="71" t="str">
        <f>'Super League - Men'!B22</f>
        <v>4th Round</v>
      </c>
      <c r="H333" s="71" t="str">
        <f>'Super League - Men'!C22</f>
        <v>Valletta Mapei</v>
      </c>
      <c r="I333" s="71" t="str">
        <f>'Super League - Men'!D22</f>
        <v>Aloysians Fire</v>
      </c>
      <c r="J333" s="71">
        <f>'Super League - Men'!E22</f>
        <v>0</v>
      </c>
      <c r="K333" s="71">
        <f>'Super League - Men'!F22</f>
        <v>0</v>
      </c>
      <c r="L333" s="39"/>
      <c r="M333" s="40"/>
      <c r="N333" s="40"/>
      <c r="O333" s="53"/>
      <c r="P333" s="53"/>
      <c r="Q333" s="53"/>
      <c r="R333" s="53"/>
      <c r="S333" s="53"/>
      <c r="T333" s="53"/>
      <c r="U333" s="41"/>
      <c r="V333" s="38"/>
    </row>
    <row r="334" spans="1:22" ht="15.75" customHeight="1">
      <c r="A334" s="36"/>
      <c r="B334" s="37"/>
      <c r="C334" s="37"/>
      <c r="D334" s="48"/>
      <c r="E334" s="37"/>
      <c r="F334" s="37"/>
      <c r="G334" s="37"/>
      <c r="H334" s="37"/>
      <c r="I334" s="37"/>
      <c r="J334" s="37"/>
      <c r="K334" s="37"/>
      <c r="L334" s="39"/>
      <c r="M334" s="40"/>
      <c r="N334" s="40"/>
      <c r="O334" s="41"/>
      <c r="P334" s="41"/>
      <c r="Q334" s="41"/>
      <c r="R334" s="41"/>
      <c r="S334" s="41"/>
      <c r="T334" s="41"/>
      <c r="U334" s="41"/>
      <c r="V334" s="38"/>
    </row>
    <row r="335" spans="1:22" ht="15.75" customHeight="1">
      <c r="A335" s="36"/>
      <c r="B335" s="54" t="s">
        <v>62</v>
      </c>
      <c r="C335" s="55">
        <v>43183</v>
      </c>
      <c r="D335" s="56"/>
      <c r="E335" s="54" t="s">
        <v>64</v>
      </c>
      <c r="F335" s="150" t="s">
        <v>107</v>
      </c>
      <c r="G335" s="142"/>
      <c r="H335" s="142"/>
      <c r="I335" s="142"/>
      <c r="J335" s="142"/>
      <c r="K335" s="143"/>
      <c r="L335" s="39"/>
      <c r="M335" s="40"/>
      <c r="N335" s="40"/>
      <c r="O335" s="53"/>
      <c r="P335" s="53"/>
      <c r="Q335" s="53"/>
      <c r="R335" s="53"/>
      <c r="S335" s="53"/>
      <c r="T335" s="53"/>
      <c r="U335" s="41"/>
      <c r="V335" s="38"/>
    </row>
    <row r="336" spans="1:22" ht="15.75" customHeight="1">
      <c r="A336" s="36"/>
      <c r="B336" s="37"/>
      <c r="C336" s="37"/>
      <c r="D336" s="48"/>
      <c r="E336" s="37"/>
      <c r="F336" s="37"/>
      <c r="G336" s="37"/>
      <c r="H336" s="37"/>
      <c r="I336" s="37"/>
      <c r="J336" s="37"/>
      <c r="K336" s="37"/>
      <c r="L336" s="39"/>
      <c r="M336" s="40"/>
      <c r="N336" s="40"/>
      <c r="O336" s="41"/>
      <c r="P336" s="41"/>
      <c r="Q336" s="41"/>
      <c r="R336" s="41"/>
      <c r="S336" s="41"/>
      <c r="T336" s="41"/>
      <c r="U336" s="41"/>
      <c r="V336" s="38"/>
    </row>
    <row r="337" spans="1:26" ht="15.75" customHeight="1">
      <c r="A337" s="36"/>
      <c r="B337" s="96" t="s">
        <v>68</v>
      </c>
      <c r="C337" s="97">
        <v>43184</v>
      </c>
      <c r="D337" s="98" t="s">
        <v>99</v>
      </c>
      <c r="E337" s="96" t="s">
        <v>64</v>
      </c>
      <c r="F337" s="99"/>
      <c r="G337" s="99" t="s">
        <v>108</v>
      </c>
      <c r="H337" s="149" t="s">
        <v>98</v>
      </c>
      <c r="I337" s="142"/>
      <c r="J337" s="142"/>
      <c r="K337" s="143"/>
      <c r="L337" s="39"/>
      <c r="M337" s="40"/>
      <c r="N337" s="40"/>
      <c r="O337" s="53"/>
      <c r="P337" s="53"/>
      <c r="Q337" s="53"/>
      <c r="R337" s="53"/>
      <c r="S337" s="53"/>
      <c r="T337" s="53"/>
      <c r="U337" s="41"/>
      <c r="V337" s="38"/>
      <c r="W337" s="38"/>
      <c r="X337" s="38"/>
      <c r="Y337" s="38"/>
      <c r="Z337" s="38"/>
    </row>
    <row r="338" spans="1:26" ht="7.5" customHeight="1">
      <c r="A338" s="36"/>
      <c r="B338" s="37"/>
      <c r="C338" s="58"/>
      <c r="D338" s="48"/>
      <c r="E338" s="37"/>
      <c r="F338" s="42"/>
      <c r="G338" s="42"/>
      <c r="H338" s="42"/>
      <c r="I338" s="42"/>
      <c r="J338" s="42"/>
      <c r="K338" s="42"/>
      <c r="L338" s="39"/>
      <c r="M338" s="40"/>
      <c r="N338" s="40"/>
      <c r="O338" s="53"/>
      <c r="P338" s="53"/>
      <c r="Q338" s="53"/>
      <c r="R338" s="53"/>
      <c r="S338" s="53"/>
      <c r="T338" s="53"/>
      <c r="U338" s="41"/>
      <c r="V338" s="38"/>
      <c r="W338" s="38"/>
      <c r="X338" s="38"/>
      <c r="Y338" s="38"/>
      <c r="Z338" s="38"/>
    </row>
    <row r="339" spans="1:22" ht="15.75" customHeight="1">
      <c r="A339" s="36"/>
      <c r="B339" s="54" t="s">
        <v>62</v>
      </c>
      <c r="C339" s="55">
        <v>43190</v>
      </c>
      <c r="D339" s="56"/>
      <c r="E339" s="54" t="s">
        <v>64</v>
      </c>
      <c r="F339" s="150" t="s">
        <v>107</v>
      </c>
      <c r="G339" s="142"/>
      <c r="H339" s="142"/>
      <c r="I339" s="142"/>
      <c r="J339" s="142"/>
      <c r="K339" s="143"/>
      <c r="L339" s="39"/>
      <c r="M339" s="40"/>
      <c r="N339" s="40"/>
      <c r="O339" s="53"/>
      <c r="P339" s="53"/>
      <c r="Q339" s="53"/>
      <c r="R339" s="53"/>
      <c r="S339" s="53"/>
      <c r="T339" s="53"/>
      <c r="U339" s="41"/>
      <c r="V339" s="38"/>
    </row>
    <row r="340" spans="1:22" ht="15.75" customHeight="1">
      <c r="A340" s="36"/>
      <c r="B340" s="37"/>
      <c r="C340" s="37"/>
      <c r="D340" s="48"/>
      <c r="E340" s="37"/>
      <c r="F340" s="37"/>
      <c r="G340" s="37"/>
      <c r="H340" s="37"/>
      <c r="I340" s="37"/>
      <c r="J340" s="37"/>
      <c r="K340" s="37"/>
      <c r="L340" s="39"/>
      <c r="M340" s="40"/>
      <c r="N340" s="40"/>
      <c r="O340" s="41"/>
      <c r="P340" s="41"/>
      <c r="Q340" s="41"/>
      <c r="R340" s="41"/>
      <c r="S340" s="41"/>
      <c r="T340" s="41"/>
      <c r="U340" s="41"/>
      <c r="V340" s="38"/>
    </row>
    <row r="341" spans="1:22" ht="26.25" customHeight="1">
      <c r="A341" s="49"/>
      <c r="B341" s="138" t="s">
        <v>109</v>
      </c>
      <c r="C341" s="139"/>
      <c r="D341" s="139"/>
      <c r="E341" s="139"/>
      <c r="F341" s="139"/>
      <c r="G341" s="139"/>
      <c r="H341" s="139"/>
      <c r="I341" s="139"/>
      <c r="J341" s="139"/>
      <c r="K341" s="140"/>
      <c r="L341" s="39"/>
      <c r="M341" s="40"/>
      <c r="N341" s="40"/>
      <c r="O341" s="41"/>
      <c r="P341" s="41"/>
      <c r="Q341" s="41"/>
      <c r="R341" s="41"/>
      <c r="S341" s="41"/>
      <c r="T341" s="41"/>
      <c r="U341" s="41"/>
      <c r="V341" s="38"/>
    </row>
    <row r="342" spans="1:22" ht="15.75" customHeight="1">
      <c r="A342" s="36"/>
      <c r="B342" s="37"/>
      <c r="C342" s="37"/>
      <c r="D342" s="48"/>
      <c r="E342" s="37"/>
      <c r="F342" s="37"/>
      <c r="G342" s="37"/>
      <c r="H342" s="37"/>
      <c r="I342" s="48"/>
      <c r="J342" s="37"/>
      <c r="K342" s="37"/>
      <c r="L342" s="39"/>
      <c r="M342" s="40"/>
      <c r="N342" s="40"/>
      <c r="O342" s="41"/>
      <c r="P342" s="41"/>
      <c r="Q342" s="41"/>
      <c r="R342" s="41"/>
      <c r="S342" s="41"/>
      <c r="T342" s="41"/>
      <c r="U342" s="41"/>
      <c r="V342" s="38"/>
    </row>
    <row r="343" spans="1:22" ht="15.75" customHeight="1">
      <c r="A343" s="36"/>
      <c r="B343" s="54" t="s">
        <v>68</v>
      </c>
      <c r="C343" s="55">
        <v>43191</v>
      </c>
      <c r="D343" s="56"/>
      <c r="E343" s="54" t="s">
        <v>64</v>
      </c>
      <c r="F343" s="150" t="s">
        <v>107</v>
      </c>
      <c r="G343" s="142"/>
      <c r="H343" s="142"/>
      <c r="I343" s="142"/>
      <c r="J343" s="142"/>
      <c r="K343" s="143"/>
      <c r="L343" s="39"/>
      <c r="M343" s="40"/>
      <c r="N343" s="40"/>
      <c r="O343" s="53"/>
      <c r="P343" s="53"/>
      <c r="Q343" s="53"/>
      <c r="R343" s="53"/>
      <c r="S343" s="53"/>
      <c r="T343" s="53"/>
      <c r="U343" s="41"/>
      <c r="V343" s="38"/>
    </row>
    <row r="344" spans="1:22" ht="15.75" customHeight="1">
      <c r="A344" s="36"/>
      <c r="B344" s="37"/>
      <c r="C344" s="37"/>
      <c r="D344" s="48"/>
      <c r="E344" s="37"/>
      <c r="F344" s="37"/>
      <c r="G344" s="37"/>
      <c r="H344" s="37"/>
      <c r="I344" s="37"/>
      <c r="J344" s="37"/>
      <c r="K344" s="37"/>
      <c r="L344" s="39"/>
      <c r="M344" s="40"/>
      <c r="N344" s="40"/>
      <c r="O344" s="41"/>
      <c r="P344" s="41"/>
      <c r="Q344" s="41"/>
      <c r="R344" s="41"/>
      <c r="S344" s="41"/>
      <c r="T344" s="41"/>
      <c r="U344" s="41"/>
      <c r="V344" s="38"/>
    </row>
    <row r="345" spans="1:22" ht="15.75" customHeight="1">
      <c r="A345" s="36"/>
      <c r="B345" s="54" t="s">
        <v>110</v>
      </c>
      <c r="C345" s="55">
        <v>43193</v>
      </c>
      <c r="D345" s="56" t="s">
        <v>76</v>
      </c>
      <c r="E345" s="54" t="s">
        <v>64</v>
      </c>
      <c r="F345" s="57" t="str">
        <f>'National Cup Women'!A3</f>
        <v>WNC-01</v>
      </c>
      <c r="G345" s="57" t="str">
        <f>'National Cup Women'!B3</f>
        <v>Preliminary Round - 1</v>
      </c>
      <c r="H345" s="57" t="str">
        <f>'National Cup Women'!C3</f>
        <v>Paola Volley</v>
      </c>
      <c r="I345" s="57" t="str">
        <f>'National Cup Women'!D3</f>
        <v>Sliema Wanderers</v>
      </c>
      <c r="J345" s="57">
        <f>'National Cup Women'!E3</f>
        <v>0</v>
      </c>
      <c r="K345" s="57">
        <f>'National Cup Women'!F3</f>
        <v>0</v>
      </c>
      <c r="L345" s="39"/>
      <c r="M345" s="40"/>
      <c r="N345" s="40"/>
      <c r="O345" s="53"/>
      <c r="P345" s="53"/>
      <c r="Q345" s="53"/>
      <c r="R345" s="53"/>
      <c r="S345" s="53"/>
      <c r="T345" s="53"/>
      <c r="U345" s="41"/>
      <c r="V345" s="38"/>
    </row>
    <row r="346" spans="1:22" ht="15.75" customHeight="1">
      <c r="A346" s="36"/>
      <c r="B346" s="37"/>
      <c r="C346" s="37"/>
      <c r="D346" s="48"/>
      <c r="E346" s="37"/>
      <c r="F346" s="37"/>
      <c r="G346" s="37"/>
      <c r="H346" s="37"/>
      <c r="I346" s="37"/>
      <c r="J346" s="37"/>
      <c r="K346" s="37"/>
      <c r="L346" s="39"/>
      <c r="M346" s="40"/>
      <c r="N346" s="40"/>
      <c r="O346" s="41"/>
      <c r="P346" s="41"/>
      <c r="Q346" s="41"/>
      <c r="R346" s="41"/>
      <c r="S346" s="41"/>
      <c r="T346" s="41"/>
      <c r="U346" s="41"/>
      <c r="V346" s="38"/>
    </row>
    <row r="347" spans="1:22" ht="15.75" customHeight="1">
      <c r="A347" s="36"/>
      <c r="B347" s="54" t="s">
        <v>111</v>
      </c>
      <c r="C347" s="55">
        <v>42830</v>
      </c>
      <c r="D347" s="56" t="s">
        <v>76</v>
      </c>
      <c r="E347" s="54" t="s">
        <v>64</v>
      </c>
      <c r="F347" s="57" t="str">
        <f>'National Cup Women'!A4</f>
        <v>WNC-02</v>
      </c>
      <c r="G347" s="57" t="str">
        <f>'National Cup Women'!B4</f>
        <v>Preliminary Round - 2</v>
      </c>
      <c r="H347" s="57" t="str">
        <f>'National Cup Women'!C4</f>
        <v>Zabbar St. Patrick's</v>
      </c>
      <c r="I347" s="57" t="str">
        <f>'National Cup Women'!D4</f>
        <v>Kavallieri</v>
      </c>
      <c r="J347" s="57">
        <f>'National Cup Women'!E4</f>
        <v>0</v>
      </c>
      <c r="K347" s="57">
        <f>'National Cup Women'!F4</f>
        <v>0</v>
      </c>
      <c r="L347" s="39"/>
      <c r="M347" s="40"/>
      <c r="N347" s="40"/>
      <c r="O347" s="53"/>
      <c r="P347" s="53"/>
      <c r="Q347" s="53"/>
      <c r="R347" s="53"/>
      <c r="S347" s="53"/>
      <c r="T347" s="53"/>
      <c r="U347" s="41"/>
      <c r="V347" s="38"/>
    </row>
    <row r="348" spans="1:22" ht="15.75" customHeight="1">
      <c r="A348" s="36"/>
      <c r="B348" s="37"/>
      <c r="C348" s="37"/>
      <c r="D348" s="48"/>
      <c r="E348" s="37"/>
      <c r="F348" s="37"/>
      <c r="G348" s="37"/>
      <c r="H348" s="37"/>
      <c r="I348" s="37"/>
      <c r="J348" s="37"/>
      <c r="K348" s="37"/>
      <c r="L348" s="39"/>
      <c r="M348" s="40"/>
      <c r="N348" s="40"/>
      <c r="O348" s="41"/>
      <c r="P348" s="41"/>
      <c r="Q348" s="41"/>
      <c r="R348" s="41"/>
      <c r="S348" s="41"/>
      <c r="T348" s="41"/>
      <c r="U348" s="41"/>
      <c r="V348" s="38"/>
    </row>
    <row r="349" spans="1:22" ht="15.75" customHeight="1">
      <c r="A349" s="36"/>
      <c r="B349" s="54" t="s">
        <v>62</v>
      </c>
      <c r="C349" s="55">
        <v>43197</v>
      </c>
      <c r="D349" s="56" t="s">
        <v>66</v>
      </c>
      <c r="E349" s="54" t="s">
        <v>64</v>
      </c>
      <c r="F349" s="57" t="str">
        <f>'National Cup Women'!A5</f>
        <v>WNC-03</v>
      </c>
      <c r="G349" s="57" t="str">
        <f>'National Cup Women'!B5</f>
        <v>Quarter Final 1</v>
      </c>
      <c r="H349" s="57" t="str">
        <f>'National Cup Women'!C5</f>
        <v>Winner Preliminary Round - 1</v>
      </c>
      <c r="I349" s="57" t="str">
        <f>'National Cup Women'!D5</f>
        <v>Mgarr Volley</v>
      </c>
      <c r="J349" s="57">
        <f>'National Cup Women'!E5</f>
        <v>0</v>
      </c>
      <c r="K349" s="57">
        <f>'National Cup Women'!F5</f>
        <v>0</v>
      </c>
      <c r="L349" s="39"/>
      <c r="M349" s="40"/>
      <c r="N349" s="40"/>
      <c r="O349" s="53"/>
      <c r="P349" s="53"/>
      <c r="Q349" s="53"/>
      <c r="R349" s="53"/>
      <c r="S349" s="53"/>
      <c r="T349" s="53"/>
      <c r="U349" s="41"/>
      <c r="V349" s="38"/>
    </row>
    <row r="350" spans="1:22" ht="7.5" customHeight="1">
      <c r="A350" s="36"/>
      <c r="B350" s="37"/>
      <c r="C350" s="58"/>
      <c r="D350" s="48"/>
      <c r="E350" s="37"/>
      <c r="F350" s="42"/>
      <c r="G350" s="42"/>
      <c r="H350" s="42"/>
      <c r="I350" s="42"/>
      <c r="J350" s="42"/>
      <c r="K350" s="42"/>
      <c r="L350" s="39"/>
      <c r="M350" s="40"/>
      <c r="N350" s="40"/>
      <c r="O350" s="53"/>
      <c r="P350" s="53"/>
      <c r="Q350" s="53"/>
      <c r="R350" s="53"/>
      <c r="S350" s="53"/>
      <c r="T350" s="53"/>
      <c r="U350" s="41"/>
      <c r="V350" s="38"/>
    </row>
    <row r="351" spans="1:22" ht="15.75" customHeight="1">
      <c r="A351" s="36"/>
      <c r="B351" s="54" t="s">
        <v>62</v>
      </c>
      <c r="C351" s="55">
        <v>43197</v>
      </c>
      <c r="D351" s="56" t="s">
        <v>67</v>
      </c>
      <c r="E351" s="54" t="s">
        <v>64</v>
      </c>
      <c r="F351" s="57" t="str">
        <f>'National Cup Women'!A6</f>
        <v>WNC-04</v>
      </c>
      <c r="G351" s="57" t="str">
        <f>'National Cup Women'!B6</f>
        <v>Quarter Final 2</v>
      </c>
      <c r="H351" s="57" t="str">
        <f>'National Cup Women'!C6</f>
        <v>Fleur de Lys 1</v>
      </c>
      <c r="I351" s="57" t="str">
        <f>'National Cup Women'!D6</f>
        <v>Fleur de Lys 2</v>
      </c>
      <c r="J351" s="57">
        <f>'National Cup Women'!E6</f>
        <v>0</v>
      </c>
      <c r="K351" s="57">
        <f>'National Cup Women'!F6</f>
        <v>0</v>
      </c>
      <c r="L351" s="39"/>
      <c r="M351" s="40"/>
      <c r="N351" s="40"/>
      <c r="O351" s="53"/>
      <c r="P351" s="53"/>
      <c r="Q351" s="53"/>
      <c r="R351" s="53"/>
      <c r="S351" s="53"/>
      <c r="T351" s="53"/>
      <c r="U351" s="41"/>
      <c r="V351" s="38"/>
    </row>
    <row r="352" spans="1:22" ht="7.5" customHeight="1">
      <c r="A352" s="36"/>
      <c r="B352" s="37"/>
      <c r="C352" s="58"/>
      <c r="D352" s="48"/>
      <c r="E352" s="37"/>
      <c r="F352" s="42"/>
      <c r="G352" s="42"/>
      <c r="H352" s="42"/>
      <c r="I352" s="42"/>
      <c r="J352" s="42"/>
      <c r="K352" s="42"/>
      <c r="L352" s="39"/>
      <c r="M352" s="40"/>
      <c r="N352" s="40"/>
      <c r="O352" s="53"/>
      <c r="P352" s="53"/>
      <c r="Q352" s="53"/>
      <c r="R352" s="53"/>
      <c r="S352" s="53"/>
      <c r="T352" s="53"/>
      <c r="U352" s="41"/>
      <c r="V352" s="38"/>
    </row>
    <row r="353" spans="1:22" ht="15.75" customHeight="1">
      <c r="A353" s="36"/>
      <c r="B353" s="90" t="s">
        <v>62</v>
      </c>
      <c r="C353" s="51">
        <v>43197</v>
      </c>
      <c r="D353" s="52" t="s">
        <v>73</v>
      </c>
      <c r="E353" s="50" t="s">
        <v>64</v>
      </c>
      <c r="F353" s="71" t="str">
        <f>'Super League - Men'!A23</f>
        <v>SLM-21</v>
      </c>
      <c r="G353" s="71" t="str">
        <f>'Super League - Men'!B23</f>
        <v>4th Round</v>
      </c>
      <c r="H353" s="71" t="str">
        <f>'Super League - Men'!C23</f>
        <v>Aloysians Fire</v>
      </c>
      <c r="I353" s="71" t="str">
        <f>'Super League - Men'!D23</f>
        <v>Mgarr Volley</v>
      </c>
      <c r="J353" s="71">
        <f>'Super League - Men'!E23</f>
        <v>0</v>
      </c>
      <c r="K353" s="71">
        <f>'Super League - Men'!F23</f>
        <v>0</v>
      </c>
      <c r="L353" s="39"/>
      <c r="M353" s="40"/>
      <c r="N353" s="40"/>
      <c r="O353" s="53"/>
      <c r="P353" s="53"/>
      <c r="Q353" s="53"/>
      <c r="R353" s="53"/>
      <c r="S353" s="53"/>
      <c r="T353" s="53"/>
      <c r="U353" s="41"/>
      <c r="V353" s="38"/>
    </row>
    <row r="354" spans="1:22" ht="15.75" customHeight="1">
      <c r="A354" s="36"/>
      <c r="B354" s="37"/>
      <c r="C354" s="37"/>
      <c r="D354" s="48"/>
      <c r="E354" s="37"/>
      <c r="F354" s="37"/>
      <c r="G354" s="37"/>
      <c r="H354" s="37"/>
      <c r="I354" s="37"/>
      <c r="J354" s="37"/>
      <c r="K354" s="37"/>
      <c r="L354" s="39"/>
      <c r="M354" s="40"/>
      <c r="N354" s="40"/>
      <c r="O354" s="41"/>
      <c r="P354" s="41"/>
      <c r="Q354" s="41"/>
      <c r="R354" s="41"/>
      <c r="S354" s="41"/>
      <c r="T354" s="41"/>
      <c r="U354" s="41"/>
      <c r="V354" s="38"/>
    </row>
    <row r="355" spans="1:26" ht="15.75" customHeight="1">
      <c r="A355" s="36"/>
      <c r="B355" s="96" t="s">
        <v>68</v>
      </c>
      <c r="C355" s="97">
        <v>43198</v>
      </c>
      <c r="D355" s="98" t="s">
        <v>99</v>
      </c>
      <c r="E355" s="96" t="s">
        <v>64</v>
      </c>
      <c r="F355" s="99"/>
      <c r="G355" s="99" t="s">
        <v>112</v>
      </c>
      <c r="H355" s="149" t="s">
        <v>98</v>
      </c>
      <c r="I355" s="142"/>
      <c r="J355" s="142"/>
      <c r="K355" s="143"/>
      <c r="L355" s="39"/>
      <c r="M355" s="40"/>
      <c r="N355" s="40"/>
      <c r="O355" s="53"/>
      <c r="P355" s="53"/>
      <c r="Q355" s="53"/>
      <c r="R355" s="53"/>
      <c r="S355" s="53"/>
      <c r="T355" s="53"/>
      <c r="U355" s="41"/>
      <c r="V355" s="38"/>
      <c r="W355" s="38"/>
      <c r="X355" s="38"/>
      <c r="Y355" s="38"/>
      <c r="Z355" s="38"/>
    </row>
    <row r="356" spans="1:26" ht="7.5" customHeight="1">
      <c r="A356" s="36"/>
      <c r="B356" s="37"/>
      <c r="C356" s="58"/>
      <c r="D356" s="48"/>
      <c r="E356" s="37"/>
      <c r="F356" s="42"/>
      <c r="G356" s="42"/>
      <c r="H356" s="42"/>
      <c r="I356" s="42"/>
      <c r="J356" s="42"/>
      <c r="K356" s="42"/>
      <c r="L356" s="39"/>
      <c r="M356" s="40"/>
      <c r="N356" s="40"/>
      <c r="O356" s="53"/>
      <c r="P356" s="53"/>
      <c r="Q356" s="53"/>
      <c r="R356" s="53"/>
      <c r="S356" s="53"/>
      <c r="T356" s="53"/>
      <c r="U356" s="41"/>
      <c r="V356" s="38"/>
      <c r="W356" s="38"/>
      <c r="X356" s="38"/>
      <c r="Y356" s="38"/>
      <c r="Z356" s="38"/>
    </row>
    <row r="357" spans="1:22" ht="15.75" customHeight="1">
      <c r="A357" s="36"/>
      <c r="B357" s="54" t="s">
        <v>68</v>
      </c>
      <c r="C357" s="55">
        <v>43198</v>
      </c>
      <c r="D357" s="56" t="s">
        <v>66</v>
      </c>
      <c r="E357" s="54" t="s">
        <v>64</v>
      </c>
      <c r="F357" s="57" t="str">
        <f>'National Cup Women'!A7</f>
        <v>WNC-05</v>
      </c>
      <c r="G357" s="57" t="str">
        <f>'National Cup Women'!B7</f>
        <v>Quarter Final 3</v>
      </c>
      <c r="H357" s="57" t="str">
        <f>'National Cup Women'!C7</f>
        <v>Balzan Flyers Crosscraft</v>
      </c>
      <c r="I357" s="57" t="str">
        <f>'National Cup Women'!D7</f>
        <v>Birkirkara</v>
      </c>
      <c r="J357" s="57">
        <f>'National Cup Women'!E7</f>
        <v>0</v>
      </c>
      <c r="K357" s="57">
        <f>'National Cup Women'!F7</f>
        <v>0</v>
      </c>
      <c r="L357" s="39"/>
      <c r="M357" s="40"/>
      <c r="N357" s="40"/>
      <c r="O357" s="53"/>
      <c r="P357" s="53"/>
      <c r="Q357" s="53"/>
      <c r="R357" s="53"/>
      <c r="S357" s="53"/>
      <c r="T357" s="53"/>
      <c r="U357" s="41"/>
      <c r="V357" s="38"/>
    </row>
    <row r="358" spans="1:22" ht="7.5" customHeight="1">
      <c r="A358" s="36"/>
      <c r="B358" s="37"/>
      <c r="C358" s="58"/>
      <c r="D358" s="48"/>
      <c r="E358" s="37"/>
      <c r="F358" s="42"/>
      <c r="G358" s="42"/>
      <c r="H358" s="42"/>
      <c r="I358" s="42"/>
      <c r="J358" s="42"/>
      <c r="K358" s="42"/>
      <c r="L358" s="39"/>
      <c r="M358" s="40"/>
      <c r="N358" s="40"/>
      <c r="O358" s="53"/>
      <c r="P358" s="53"/>
      <c r="Q358" s="53"/>
      <c r="R358" s="53"/>
      <c r="S358" s="53"/>
      <c r="T358" s="53"/>
      <c r="U358" s="41"/>
      <c r="V358" s="38"/>
    </row>
    <row r="359" spans="1:22" ht="15.75" customHeight="1">
      <c r="A359" s="36"/>
      <c r="B359" s="54" t="s">
        <v>68</v>
      </c>
      <c r="C359" s="55">
        <v>43198</v>
      </c>
      <c r="D359" s="56" t="s">
        <v>67</v>
      </c>
      <c r="E359" s="54" t="s">
        <v>64</v>
      </c>
      <c r="F359" s="57" t="str">
        <f>'National Cup Women'!A8</f>
        <v>WNC-06</v>
      </c>
      <c r="G359" s="57" t="str">
        <f>'National Cup Women'!B8</f>
        <v>Quarter Final 4</v>
      </c>
      <c r="H359" s="57" t="str">
        <f>'National Cup Women'!C8</f>
        <v>Winner Preliminary Round - 2</v>
      </c>
      <c r="I359" s="57" t="str">
        <f>'National Cup Women'!D8</f>
        <v>Swieqi Phoenix</v>
      </c>
      <c r="J359" s="57">
        <f>'National Cup Women'!E8</f>
        <v>0</v>
      </c>
      <c r="K359" s="57">
        <f>'National Cup Women'!F8</f>
        <v>0</v>
      </c>
      <c r="L359" s="39"/>
      <c r="M359" s="40"/>
      <c r="N359" s="40"/>
      <c r="O359" s="53"/>
      <c r="P359" s="53"/>
      <c r="Q359" s="53"/>
      <c r="R359" s="53"/>
      <c r="S359" s="53"/>
      <c r="T359" s="53"/>
      <c r="U359" s="41"/>
      <c r="V359" s="38"/>
    </row>
    <row r="360" spans="1:22" ht="7.5" customHeight="1">
      <c r="A360" s="36"/>
      <c r="B360" s="37"/>
      <c r="C360" s="58"/>
      <c r="D360" s="48"/>
      <c r="E360" s="37"/>
      <c r="F360" s="42"/>
      <c r="G360" s="42"/>
      <c r="H360" s="42"/>
      <c r="I360" s="42"/>
      <c r="J360" s="42"/>
      <c r="K360" s="42"/>
      <c r="L360" s="39"/>
      <c r="M360" s="40"/>
      <c r="N360" s="40"/>
      <c r="O360" s="53"/>
      <c r="P360" s="53"/>
      <c r="Q360" s="53"/>
      <c r="R360" s="53"/>
      <c r="S360" s="53"/>
      <c r="T360" s="53"/>
      <c r="U360" s="41"/>
      <c r="V360" s="38"/>
    </row>
    <row r="361" spans="1:22" ht="15.75" customHeight="1">
      <c r="A361" s="36"/>
      <c r="B361" s="90" t="s">
        <v>68</v>
      </c>
      <c r="C361" s="51">
        <v>43198</v>
      </c>
      <c r="D361" s="52" t="s">
        <v>73</v>
      </c>
      <c r="E361" s="50" t="s">
        <v>64</v>
      </c>
      <c r="F361" s="71" t="str">
        <f>'Super League - Men'!A24</f>
        <v>SLM-22</v>
      </c>
      <c r="G361" s="71" t="str">
        <f>'Super League - Men'!B24</f>
        <v>4th Round</v>
      </c>
      <c r="H361" s="71" t="str">
        <f>'Super League - Men'!C24</f>
        <v>Aloysians Ice</v>
      </c>
      <c r="I361" s="71" t="str">
        <f>'Super League - Men'!D24</f>
        <v>Valletta Mapei</v>
      </c>
      <c r="J361" s="71">
        <f>'Super League - Men'!E24</f>
        <v>0</v>
      </c>
      <c r="K361" s="71">
        <f>'Super League - Men'!F24</f>
        <v>0</v>
      </c>
      <c r="L361" s="39"/>
      <c r="M361" s="40"/>
      <c r="N361" s="40"/>
      <c r="O361" s="53"/>
      <c r="P361" s="53"/>
      <c r="Q361" s="53"/>
      <c r="R361" s="53"/>
      <c r="S361" s="53"/>
      <c r="T361" s="53"/>
      <c r="U361" s="41"/>
      <c r="V361" s="38"/>
    </row>
    <row r="362" spans="1:22" ht="15.75" customHeight="1">
      <c r="A362" s="36"/>
      <c r="B362" s="37"/>
      <c r="C362" s="37"/>
      <c r="D362" s="48"/>
      <c r="E362" s="37"/>
      <c r="F362" s="37"/>
      <c r="G362" s="37"/>
      <c r="H362" s="37"/>
      <c r="I362" s="37"/>
      <c r="J362" s="37"/>
      <c r="K362" s="37"/>
      <c r="L362" s="39"/>
      <c r="M362" s="40"/>
      <c r="N362" s="40"/>
      <c r="O362" s="41"/>
      <c r="P362" s="41"/>
      <c r="Q362" s="41"/>
      <c r="R362" s="41"/>
      <c r="S362" s="41"/>
      <c r="T362" s="41"/>
      <c r="U362" s="41"/>
      <c r="V362" s="38"/>
    </row>
    <row r="363" spans="1:22" ht="15.75" customHeight="1">
      <c r="A363" s="36"/>
      <c r="B363" s="54" t="s">
        <v>62</v>
      </c>
      <c r="C363" s="55">
        <v>43204</v>
      </c>
      <c r="D363" s="56" t="s">
        <v>66</v>
      </c>
      <c r="E363" s="54" t="s">
        <v>64</v>
      </c>
      <c r="F363" s="57" t="str">
        <f>'National Cup Women'!A9</f>
        <v>WNC-07</v>
      </c>
      <c r="G363" s="57" t="str">
        <f>'National Cup Women'!B9</f>
        <v>Semi Final 1</v>
      </c>
      <c r="H363" s="57" t="str">
        <f>'National Cup Women'!C9</f>
        <v>Winner Quarter Final 1</v>
      </c>
      <c r="I363" s="57" t="str">
        <f>'National Cup Women'!D9</f>
        <v>Winner Quarter Final 2</v>
      </c>
      <c r="J363" s="57">
        <f>'National Cup Women'!E9</f>
        <v>0</v>
      </c>
      <c r="K363" s="57">
        <f>'National Cup Women'!F9</f>
        <v>0</v>
      </c>
      <c r="L363" s="39"/>
      <c r="M363" s="40"/>
      <c r="N363" s="40"/>
      <c r="O363" s="53"/>
      <c r="P363" s="53"/>
      <c r="Q363" s="53"/>
      <c r="R363" s="53"/>
      <c r="S363" s="53"/>
      <c r="T363" s="53"/>
      <c r="U363" s="41"/>
      <c r="V363" s="38"/>
    </row>
    <row r="364" spans="1:22" ht="7.5" customHeight="1">
      <c r="A364" s="36"/>
      <c r="B364" s="37"/>
      <c r="C364" s="58"/>
      <c r="D364" s="48"/>
      <c r="E364" s="37"/>
      <c r="F364" s="42"/>
      <c r="G364" s="42"/>
      <c r="H364" s="42"/>
      <c r="I364" s="42"/>
      <c r="J364" s="42"/>
      <c r="K364" s="42"/>
      <c r="L364" s="39"/>
      <c r="M364" s="40"/>
      <c r="N364" s="40"/>
      <c r="O364" s="53"/>
      <c r="P364" s="53"/>
      <c r="Q364" s="53"/>
      <c r="R364" s="53"/>
      <c r="S364" s="53"/>
      <c r="T364" s="53"/>
      <c r="U364" s="41"/>
      <c r="V364" s="38"/>
    </row>
    <row r="365" spans="1:22" ht="15.75" customHeight="1">
      <c r="A365" s="36"/>
      <c r="B365" s="54" t="s">
        <v>62</v>
      </c>
      <c r="C365" s="55">
        <v>43204</v>
      </c>
      <c r="D365" s="56" t="s">
        <v>67</v>
      </c>
      <c r="E365" s="54" t="s">
        <v>64</v>
      </c>
      <c r="F365" s="57" t="str">
        <f>'National Cup Women'!A10</f>
        <v>WNC-08</v>
      </c>
      <c r="G365" s="57" t="str">
        <f>'National Cup Women'!B10</f>
        <v>Semi Final 2</v>
      </c>
      <c r="H365" s="57" t="str">
        <f>'National Cup Women'!C10</f>
        <v>Winner Quarter Final 3</v>
      </c>
      <c r="I365" s="57" t="str">
        <f>'National Cup Women'!D10</f>
        <v>Winner Quarter Final 4</v>
      </c>
      <c r="J365" s="57">
        <f>'National Cup Women'!E10</f>
        <v>0</v>
      </c>
      <c r="K365" s="57">
        <f>'National Cup Women'!F10</f>
        <v>0</v>
      </c>
      <c r="L365" s="39"/>
      <c r="M365" s="40"/>
      <c r="N365" s="40"/>
      <c r="O365" s="53"/>
      <c r="P365" s="53"/>
      <c r="Q365" s="53"/>
      <c r="R365" s="53"/>
      <c r="S365" s="53"/>
      <c r="T365" s="53"/>
      <c r="U365" s="41"/>
      <c r="V365" s="38"/>
    </row>
    <row r="366" spans="1:22" ht="7.5" customHeight="1">
      <c r="A366" s="36"/>
      <c r="B366" s="37"/>
      <c r="C366" s="58"/>
      <c r="D366" s="48"/>
      <c r="E366" s="37"/>
      <c r="F366" s="42"/>
      <c r="G366" s="42"/>
      <c r="H366" s="42"/>
      <c r="I366" s="42"/>
      <c r="J366" s="42"/>
      <c r="K366" s="42"/>
      <c r="L366" s="39"/>
      <c r="M366" s="40"/>
      <c r="N366" s="40"/>
      <c r="O366" s="53"/>
      <c r="P366" s="53"/>
      <c r="Q366" s="53"/>
      <c r="R366" s="53"/>
      <c r="S366" s="53"/>
      <c r="T366" s="53"/>
      <c r="U366" s="41"/>
      <c r="V366" s="38"/>
    </row>
    <row r="367" spans="1:22" ht="15.75" customHeight="1">
      <c r="A367" s="36"/>
      <c r="B367" s="90" t="s">
        <v>62</v>
      </c>
      <c r="C367" s="51">
        <v>43204</v>
      </c>
      <c r="D367" s="52" t="s">
        <v>73</v>
      </c>
      <c r="E367" s="50" t="s">
        <v>64</v>
      </c>
      <c r="F367" s="71" t="str">
        <f>'Super League - Men'!A25</f>
        <v>SLM-23</v>
      </c>
      <c r="G367" s="71" t="str">
        <f>'Super League - Men'!B25</f>
        <v>4th Round</v>
      </c>
      <c r="H367" s="71" t="str">
        <f>'Super League - Men'!C25</f>
        <v>Mgarr Volley</v>
      </c>
      <c r="I367" s="71" t="str">
        <f>'Super League - Men'!D25</f>
        <v>Valletta Mapei</v>
      </c>
      <c r="J367" s="71">
        <f>'Super League - Men'!E25</f>
        <v>0</v>
      </c>
      <c r="K367" s="71">
        <f>'Super League - Men'!F25</f>
        <v>0</v>
      </c>
      <c r="L367" s="39"/>
      <c r="M367" s="40"/>
      <c r="N367" s="40"/>
      <c r="O367" s="53"/>
      <c r="P367" s="53"/>
      <c r="Q367" s="53"/>
      <c r="R367" s="53"/>
      <c r="S367" s="53"/>
      <c r="T367" s="53"/>
      <c r="U367" s="41"/>
      <c r="V367" s="38"/>
    </row>
    <row r="368" spans="1:22" ht="15.75" customHeight="1">
      <c r="A368" s="36"/>
      <c r="B368" s="37"/>
      <c r="C368" s="37"/>
      <c r="D368" s="48"/>
      <c r="E368" s="37"/>
      <c r="F368" s="37"/>
      <c r="G368" s="37"/>
      <c r="H368" s="37"/>
      <c r="I368" s="37"/>
      <c r="J368" s="37"/>
      <c r="K368" s="37"/>
      <c r="L368" s="39"/>
      <c r="M368" s="40"/>
      <c r="N368" s="40"/>
      <c r="O368" s="41"/>
      <c r="P368" s="41"/>
      <c r="Q368" s="41"/>
      <c r="R368" s="41"/>
      <c r="S368" s="41"/>
      <c r="T368" s="41"/>
      <c r="U368" s="41"/>
      <c r="V368" s="38"/>
    </row>
    <row r="369" spans="1:26" ht="15.75" customHeight="1">
      <c r="A369" s="36"/>
      <c r="B369" s="101" t="s">
        <v>68</v>
      </c>
      <c r="C369" s="102">
        <v>43205</v>
      </c>
      <c r="D369" s="103" t="s">
        <v>99</v>
      </c>
      <c r="E369" s="101" t="s">
        <v>64</v>
      </c>
      <c r="F369" s="104"/>
      <c r="G369" s="104" t="s">
        <v>106</v>
      </c>
      <c r="H369" s="148" t="s">
        <v>102</v>
      </c>
      <c r="I369" s="142"/>
      <c r="J369" s="142"/>
      <c r="K369" s="143"/>
      <c r="L369" s="39"/>
      <c r="M369" s="40"/>
      <c r="N369" s="40"/>
      <c r="O369" s="53"/>
      <c r="P369" s="53"/>
      <c r="Q369" s="53"/>
      <c r="R369" s="53"/>
      <c r="S369" s="53"/>
      <c r="T369" s="53"/>
      <c r="U369" s="41"/>
      <c r="V369" s="38"/>
      <c r="W369" s="38"/>
      <c r="X369" s="38"/>
      <c r="Y369" s="38"/>
      <c r="Z369" s="38"/>
    </row>
    <row r="370" spans="1:26" ht="7.5" customHeight="1">
      <c r="A370" s="36"/>
      <c r="B370" s="37"/>
      <c r="C370" s="58"/>
      <c r="D370" s="48"/>
      <c r="E370" s="37"/>
      <c r="F370" s="42"/>
      <c r="G370" s="42"/>
      <c r="H370" s="42"/>
      <c r="I370" s="42"/>
      <c r="J370" s="42"/>
      <c r="K370" s="42"/>
      <c r="L370" s="39"/>
      <c r="M370" s="40"/>
      <c r="N370" s="40"/>
      <c r="O370" s="53"/>
      <c r="P370" s="53"/>
      <c r="Q370" s="53"/>
      <c r="R370" s="53"/>
      <c r="S370" s="53"/>
      <c r="T370" s="53"/>
      <c r="U370" s="41"/>
      <c r="V370" s="38"/>
      <c r="W370" s="38"/>
      <c r="X370" s="38"/>
      <c r="Y370" s="38"/>
      <c r="Z370" s="38"/>
    </row>
    <row r="371" spans="1:22" ht="15.75" customHeight="1">
      <c r="A371" s="36"/>
      <c r="B371" s="54" t="s">
        <v>68</v>
      </c>
      <c r="C371" s="55">
        <v>43205</v>
      </c>
      <c r="D371" s="56" t="s">
        <v>66</v>
      </c>
      <c r="E371" s="54" t="s">
        <v>64</v>
      </c>
      <c r="F371" s="57" t="str">
        <f>'National Cup Women'!A11</f>
        <v>WNC-09</v>
      </c>
      <c r="G371" s="57" t="str">
        <f>'National Cup Women'!B11</f>
        <v>Final 1</v>
      </c>
      <c r="H371" s="57" t="str">
        <f>'National Cup Women'!C11</f>
        <v>Winner Semi Final 1</v>
      </c>
      <c r="I371" s="57" t="str">
        <f>'National Cup Women'!D11</f>
        <v>Winner Semi Final 2</v>
      </c>
      <c r="J371" s="57">
        <f>'National Cup Women'!E11</f>
        <v>0</v>
      </c>
      <c r="K371" s="57">
        <f>'National Cup Women'!F11</f>
        <v>0</v>
      </c>
      <c r="L371" s="39"/>
      <c r="M371" s="40"/>
      <c r="N371" s="40"/>
      <c r="O371" s="53"/>
      <c r="P371" s="53"/>
      <c r="Q371" s="53"/>
      <c r="R371" s="53"/>
      <c r="S371" s="53"/>
      <c r="T371" s="53"/>
      <c r="U371" s="41"/>
      <c r="V371" s="38"/>
    </row>
    <row r="372" spans="1:22" ht="7.5" customHeight="1">
      <c r="A372" s="36"/>
      <c r="B372" s="37"/>
      <c r="C372" s="58"/>
      <c r="D372" s="48"/>
      <c r="E372" s="37"/>
      <c r="F372" s="42"/>
      <c r="G372" s="42"/>
      <c r="H372" s="42"/>
      <c r="I372" s="42"/>
      <c r="J372" s="42"/>
      <c r="K372" s="42"/>
      <c r="L372" s="39"/>
      <c r="M372" s="40"/>
      <c r="N372" s="40"/>
      <c r="O372" s="53"/>
      <c r="P372" s="53"/>
      <c r="Q372" s="53"/>
      <c r="R372" s="53"/>
      <c r="S372" s="53"/>
      <c r="T372" s="53"/>
      <c r="U372" s="41"/>
      <c r="V372" s="38"/>
    </row>
    <row r="373" spans="1:22" ht="15.75" customHeight="1">
      <c r="A373" s="36"/>
      <c r="B373" s="90" t="s">
        <v>68</v>
      </c>
      <c r="C373" s="51">
        <v>43205</v>
      </c>
      <c r="D373" s="52" t="s">
        <v>73</v>
      </c>
      <c r="E373" s="50" t="s">
        <v>64</v>
      </c>
      <c r="F373" s="71" t="str">
        <f>'Super League - Men'!A26</f>
        <v>SLM-24</v>
      </c>
      <c r="G373" s="71" t="str">
        <f>'Super League - Men'!B26</f>
        <v>4th Round</v>
      </c>
      <c r="H373" s="71" t="str">
        <f>'Super League - Men'!C26</f>
        <v>Aloysians Fire</v>
      </c>
      <c r="I373" s="71" t="str">
        <f>'Super League - Men'!D26</f>
        <v>Aloysians Ice</v>
      </c>
      <c r="J373" s="71">
        <f>'Super League - Men'!E26</f>
        <v>0</v>
      </c>
      <c r="K373" s="71">
        <f>'Super League - Men'!F26</f>
        <v>0</v>
      </c>
      <c r="L373" s="39"/>
      <c r="M373" s="40"/>
      <c r="N373" s="40"/>
      <c r="O373" s="53"/>
      <c r="P373" s="53"/>
      <c r="Q373" s="53"/>
      <c r="R373" s="53"/>
      <c r="S373" s="53"/>
      <c r="T373" s="53"/>
      <c r="U373" s="41"/>
      <c r="V373" s="38"/>
    </row>
    <row r="374" spans="1:22" ht="15.75" customHeight="1">
      <c r="A374" s="36"/>
      <c r="B374" s="37"/>
      <c r="C374" s="37"/>
      <c r="D374" s="48"/>
      <c r="E374" s="37"/>
      <c r="F374" s="37"/>
      <c r="G374" s="37"/>
      <c r="H374" s="37"/>
      <c r="I374" s="37"/>
      <c r="J374" s="37"/>
      <c r="K374" s="37"/>
      <c r="L374" s="39"/>
      <c r="M374" s="40"/>
      <c r="N374" s="40"/>
      <c r="O374" s="41"/>
      <c r="P374" s="41"/>
      <c r="Q374" s="41"/>
      <c r="R374" s="41"/>
      <c r="S374" s="41"/>
      <c r="T374" s="41"/>
      <c r="U374" s="41"/>
      <c r="V374" s="38"/>
    </row>
    <row r="375" spans="1:22" ht="15.75" customHeight="1">
      <c r="A375" s="36"/>
      <c r="B375" s="54" t="s">
        <v>62</v>
      </c>
      <c r="C375" s="55">
        <v>43211</v>
      </c>
      <c r="D375" s="56" t="s">
        <v>66</v>
      </c>
      <c r="E375" s="54" t="s">
        <v>64</v>
      </c>
      <c r="F375" s="57" t="str">
        <f>'National Cup Women'!A12</f>
        <v>WNC-10</v>
      </c>
      <c r="G375" s="57" t="str">
        <f>'National Cup Women'!B12</f>
        <v>Final 2</v>
      </c>
      <c r="H375" s="57" t="str">
        <f>'National Cup Women'!C12</f>
        <v>Winner Semi Final 2</v>
      </c>
      <c r="I375" s="57" t="str">
        <f>'National Cup Women'!D12</f>
        <v>Winner Semi Final 1</v>
      </c>
      <c r="J375" s="57">
        <f>'National Cup Women'!E12</f>
        <v>0</v>
      </c>
      <c r="K375" s="57">
        <f>'National Cup Women'!F11</f>
        <v>0</v>
      </c>
      <c r="L375" s="39"/>
      <c r="M375" s="40"/>
      <c r="N375" s="40"/>
      <c r="O375" s="53"/>
      <c r="P375" s="53"/>
      <c r="Q375" s="53"/>
      <c r="R375" s="53"/>
      <c r="S375" s="53"/>
      <c r="T375" s="53"/>
      <c r="U375" s="41"/>
      <c r="V375" s="38"/>
    </row>
    <row r="376" spans="1:22" ht="15.75" customHeight="1">
      <c r="A376" s="36"/>
      <c r="B376" s="37"/>
      <c r="C376" s="37"/>
      <c r="D376" s="48"/>
      <c r="E376" s="37"/>
      <c r="F376" s="37"/>
      <c r="G376" s="37"/>
      <c r="H376" s="37"/>
      <c r="I376" s="37"/>
      <c r="J376" s="37"/>
      <c r="K376" s="37"/>
      <c r="L376" s="39"/>
      <c r="M376" s="40"/>
      <c r="N376" s="40"/>
      <c r="O376" s="41"/>
      <c r="P376" s="41"/>
      <c r="Q376" s="41"/>
      <c r="R376" s="41"/>
      <c r="S376" s="41"/>
      <c r="T376" s="41"/>
      <c r="U376" s="41"/>
      <c r="V376" s="38"/>
    </row>
    <row r="377" spans="1:26" ht="15.75" customHeight="1">
      <c r="A377" s="36"/>
      <c r="B377" s="96" t="s">
        <v>68</v>
      </c>
      <c r="C377" s="97">
        <v>43212</v>
      </c>
      <c r="D377" s="98" t="s">
        <v>99</v>
      </c>
      <c r="E377" s="96" t="s">
        <v>64</v>
      </c>
      <c r="F377" s="99"/>
      <c r="G377" s="99" t="s">
        <v>113</v>
      </c>
      <c r="H377" s="149" t="s">
        <v>98</v>
      </c>
      <c r="I377" s="142"/>
      <c r="J377" s="142"/>
      <c r="K377" s="143"/>
      <c r="L377" s="39"/>
      <c r="M377" s="40"/>
      <c r="N377" s="40"/>
      <c r="O377" s="53"/>
      <c r="P377" s="53"/>
      <c r="Q377" s="53"/>
      <c r="R377" s="53"/>
      <c r="S377" s="53"/>
      <c r="T377" s="53"/>
      <c r="U377" s="41"/>
      <c r="V377" s="38"/>
      <c r="W377" s="38"/>
      <c r="X377" s="38"/>
      <c r="Y377" s="38"/>
      <c r="Z377" s="38"/>
    </row>
    <row r="378" spans="1:26" ht="7.5" customHeight="1">
      <c r="A378" s="36"/>
      <c r="B378" s="37"/>
      <c r="C378" s="58"/>
      <c r="D378" s="48"/>
      <c r="E378" s="37"/>
      <c r="F378" s="42"/>
      <c r="G378" s="42"/>
      <c r="H378" s="42"/>
      <c r="I378" s="42"/>
      <c r="J378" s="42"/>
      <c r="K378" s="42"/>
      <c r="L378" s="39"/>
      <c r="M378" s="40"/>
      <c r="N378" s="40"/>
      <c r="O378" s="53"/>
      <c r="P378" s="53"/>
      <c r="Q378" s="53"/>
      <c r="R378" s="53"/>
      <c r="S378" s="53"/>
      <c r="T378" s="53"/>
      <c r="U378" s="41"/>
      <c r="V378" s="38"/>
      <c r="W378" s="38"/>
      <c r="X378" s="38"/>
      <c r="Y378" s="38"/>
      <c r="Z378" s="38"/>
    </row>
    <row r="379" spans="1:22" ht="15.75" customHeight="1">
      <c r="A379" s="36"/>
      <c r="B379" s="54" t="s">
        <v>68</v>
      </c>
      <c r="C379" s="55">
        <v>43212</v>
      </c>
      <c r="D379" s="56" t="s">
        <v>66</v>
      </c>
      <c r="E379" s="54" t="s">
        <v>64</v>
      </c>
      <c r="F379" s="57" t="str">
        <f>'National Cup Women'!A13</f>
        <v>WNC-11</v>
      </c>
      <c r="G379" s="57" t="str">
        <f>'National Cup Women'!B13</f>
        <v>Final 3</v>
      </c>
      <c r="H379" s="57" t="str">
        <f>'National Cup Women'!C13</f>
        <v>Winner Semi Final 1</v>
      </c>
      <c r="I379" s="57" t="str">
        <f>'National Cup Women'!D13</f>
        <v>Winner Semi Final 2</v>
      </c>
      <c r="J379" s="57">
        <f>'National Cup Women'!E13</f>
        <v>0</v>
      </c>
      <c r="K379" s="57">
        <f>'National Cup Women'!F13</f>
        <v>0</v>
      </c>
      <c r="L379" s="39" t="s">
        <v>114</v>
      </c>
      <c r="M379" s="40"/>
      <c r="N379" s="40"/>
      <c r="O379" s="53"/>
      <c r="P379" s="53"/>
      <c r="Q379" s="53"/>
      <c r="R379" s="53"/>
      <c r="S379" s="53"/>
      <c r="T379" s="53"/>
      <c r="U379" s="41"/>
      <c r="V379" s="38"/>
    </row>
    <row r="380" spans="1:22" ht="15.75" customHeight="1">
      <c r="A380" s="36"/>
      <c r="B380" s="37"/>
      <c r="C380" s="37"/>
      <c r="D380" s="48"/>
      <c r="E380" s="37"/>
      <c r="F380" s="37"/>
      <c r="G380" s="37"/>
      <c r="H380" s="37"/>
      <c r="I380" s="48"/>
      <c r="J380" s="37"/>
      <c r="K380" s="37"/>
      <c r="L380" s="39"/>
      <c r="M380" s="40"/>
      <c r="N380" s="40"/>
      <c r="O380" s="41"/>
      <c r="P380" s="41"/>
      <c r="Q380" s="41"/>
      <c r="R380" s="41"/>
      <c r="S380" s="41"/>
      <c r="T380" s="41"/>
      <c r="U380" s="41"/>
      <c r="V380" s="38"/>
    </row>
    <row r="381" spans="1:26" ht="15.75" customHeight="1">
      <c r="A381" s="36"/>
      <c r="B381" s="101" t="s">
        <v>68</v>
      </c>
      <c r="C381" s="102">
        <v>43219</v>
      </c>
      <c r="D381" s="103" t="s">
        <v>99</v>
      </c>
      <c r="E381" s="101" t="s">
        <v>64</v>
      </c>
      <c r="F381" s="104"/>
      <c r="G381" s="104" t="s">
        <v>108</v>
      </c>
      <c r="H381" s="148" t="s">
        <v>102</v>
      </c>
      <c r="I381" s="142"/>
      <c r="J381" s="142"/>
      <c r="K381" s="143"/>
      <c r="L381" s="39"/>
      <c r="M381" s="40"/>
      <c r="N381" s="40"/>
      <c r="O381" s="53"/>
      <c r="P381" s="53"/>
      <c r="Q381" s="53"/>
      <c r="R381" s="53"/>
      <c r="S381" s="53"/>
      <c r="T381" s="53"/>
      <c r="U381" s="41"/>
      <c r="V381" s="38"/>
      <c r="W381" s="38"/>
      <c r="X381" s="38"/>
      <c r="Y381" s="38"/>
      <c r="Z381" s="38"/>
    </row>
    <row r="382" spans="1:26" ht="7.5" customHeight="1">
      <c r="A382" s="36"/>
      <c r="B382" s="37"/>
      <c r="C382" s="58"/>
      <c r="D382" s="48"/>
      <c r="E382" s="37"/>
      <c r="F382" s="42"/>
      <c r="G382" s="42"/>
      <c r="H382" s="42"/>
      <c r="I382" s="42"/>
      <c r="J382" s="42"/>
      <c r="K382" s="42"/>
      <c r="L382" s="39"/>
      <c r="M382" s="40"/>
      <c r="N382" s="40"/>
      <c r="O382" s="53"/>
      <c r="P382" s="53"/>
      <c r="Q382" s="53"/>
      <c r="R382" s="53"/>
      <c r="S382" s="53"/>
      <c r="T382" s="53"/>
      <c r="U382" s="41"/>
      <c r="V382" s="38"/>
      <c r="W382" s="38"/>
      <c r="X382" s="38"/>
      <c r="Y382" s="38"/>
      <c r="Z382" s="38"/>
    </row>
    <row r="383" spans="1:26" ht="15.75" customHeight="1">
      <c r="A383" s="36"/>
      <c r="B383" s="96" t="s">
        <v>68</v>
      </c>
      <c r="C383" s="97">
        <v>43226</v>
      </c>
      <c r="D383" s="98" t="s">
        <v>99</v>
      </c>
      <c r="E383" s="96" t="s">
        <v>64</v>
      </c>
      <c r="F383" s="99"/>
      <c r="G383" s="99" t="s">
        <v>115</v>
      </c>
      <c r="H383" s="149" t="s">
        <v>98</v>
      </c>
      <c r="I383" s="142"/>
      <c r="J383" s="142"/>
      <c r="K383" s="143"/>
      <c r="L383" s="39"/>
      <c r="M383" s="40"/>
      <c r="N383" s="40"/>
      <c r="O383" s="53"/>
      <c r="P383" s="53"/>
      <c r="Q383" s="53"/>
      <c r="R383" s="53"/>
      <c r="S383" s="53"/>
      <c r="T383" s="53"/>
      <c r="U383" s="41"/>
      <c r="V383" s="38"/>
      <c r="W383" s="38"/>
      <c r="X383" s="38"/>
      <c r="Y383" s="38"/>
      <c r="Z383" s="38"/>
    </row>
    <row r="384" spans="1:26" ht="7.5" customHeight="1">
      <c r="A384" s="36"/>
      <c r="B384" s="37"/>
      <c r="C384" s="58"/>
      <c r="D384" s="48"/>
      <c r="E384" s="37"/>
      <c r="F384" s="42"/>
      <c r="G384" s="42"/>
      <c r="H384" s="42"/>
      <c r="I384" s="42"/>
      <c r="J384" s="42"/>
      <c r="K384" s="42"/>
      <c r="L384" s="39"/>
      <c r="M384" s="40"/>
      <c r="N384" s="40"/>
      <c r="O384" s="53"/>
      <c r="P384" s="53"/>
      <c r="Q384" s="53"/>
      <c r="R384" s="53"/>
      <c r="S384" s="53"/>
      <c r="T384" s="53"/>
      <c r="U384" s="41"/>
      <c r="V384" s="38"/>
      <c r="W384" s="38"/>
      <c r="X384" s="38"/>
      <c r="Y384" s="38"/>
      <c r="Z384" s="38"/>
    </row>
    <row r="385" spans="1:26" ht="15.75" customHeight="1">
      <c r="A385" s="36"/>
      <c r="B385" s="101" t="s">
        <v>68</v>
      </c>
      <c r="C385" s="102">
        <v>43233</v>
      </c>
      <c r="D385" s="103" t="s">
        <v>99</v>
      </c>
      <c r="E385" s="101" t="s">
        <v>64</v>
      </c>
      <c r="F385" s="104"/>
      <c r="G385" s="104" t="s">
        <v>112</v>
      </c>
      <c r="H385" s="148" t="s">
        <v>102</v>
      </c>
      <c r="I385" s="142"/>
      <c r="J385" s="142"/>
      <c r="K385" s="143"/>
      <c r="L385" s="39"/>
      <c r="M385" s="40"/>
      <c r="N385" s="40"/>
      <c r="O385" s="53"/>
      <c r="P385" s="53"/>
      <c r="Q385" s="53"/>
      <c r="R385" s="53"/>
      <c r="S385" s="53"/>
      <c r="T385" s="53"/>
      <c r="U385" s="41"/>
      <c r="V385" s="38"/>
      <c r="W385" s="38"/>
      <c r="X385" s="38"/>
      <c r="Y385" s="38"/>
      <c r="Z385" s="38"/>
    </row>
    <row r="386" spans="1:26" ht="7.5" customHeight="1">
      <c r="A386" s="36"/>
      <c r="B386" s="37"/>
      <c r="C386" s="58"/>
      <c r="D386" s="48"/>
      <c r="E386" s="37"/>
      <c r="F386" s="42"/>
      <c r="G386" s="42"/>
      <c r="H386" s="42"/>
      <c r="I386" s="42"/>
      <c r="J386" s="42"/>
      <c r="K386" s="42"/>
      <c r="L386" s="39"/>
      <c r="M386" s="40"/>
      <c r="N386" s="40"/>
      <c r="O386" s="53"/>
      <c r="P386" s="53"/>
      <c r="Q386" s="53"/>
      <c r="R386" s="53"/>
      <c r="S386" s="53"/>
      <c r="T386" s="53"/>
      <c r="U386" s="41"/>
      <c r="V386" s="38"/>
      <c r="W386" s="38"/>
      <c r="X386" s="38"/>
      <c r="Y386" s="38"/>
      <c r="Z386" s="38"/>
    </row>
    <row r="387" spans="1:26" ht="15.75" customHeight="1">
      <c r="A387" s="36"/>
      <c r="B387" s="96" t="s">
        <v>68</v>
      </c>
      <c r="C387" s="97">
        <v>43240</v>
      </c>
      <c r="D387" s="98" t="s">
        <v>99</v>
      </c>
      <c r="E387" s="96" t="s">
        <v>64</v>
      </c>
      <c r="F387" s="99"/>
      <c r="G387" s="99" t="s">
        <v>116</v>
      </c>
      <c r="H387" s="149" t="s">
        <v>98</v>
      </c>
      <c r="I387" s="142"/>
      <c r="J387" s="142"/>
      <c r="K387" s="143"/>
      <c r="L387" s="39"/>
      <c r="M387" s="40"/>
      <c r="N387" s="40"/>
      <c r="O387" s="53"/>
      <c r="P387" s="53"/>
      <c r="Q387" s="53"/>
      <c r="R387" s="53"/>
      <c r="S387" s="53"/>
      <c r="T387" s="53"/>
      <c r="U387" s="41"/>
      <c r="V387" s="38"/>
      <c r="W387" s="38"/>
      <c r="X387" s="38"/>
      <c r="Y387" s="38"/>
      <c r="Z387" s="38"/>
    </row>
    <row r="388" spans="1:26" ht="7.5" customHeight="1">
      <c r="A388" s="36"/>
      <c r="B388" s="37"/>
      <c r="C388" s="58"/>
      <c r="D388" s="48"/>
      <c r="E388" s="37"/>
      <c r="F388" s="42"/>
      <c r="G388" s="42"/>
      <c r="H388" s="42"/>
      <c r="I388" s="42"/>
      <c r="J388" s="42"/>
      <c r="K388" s="42"/>
      <c r="L388" s="39"/>
      <c r="M388" s="40"/>
      <c r="N388" s="40"/>
      <c r="O388" s="53"/>
      <c r="P388" s="53"/>
      <c r="Q388" s="53"/>
      <c r="R388" s="53"/>
      <c r="S388" s="53"/>
      <c r="T388" s="53"/>
      <c r="U388" s="41"/>
      <c r="V388" s="38"/>
      <c r="W388" s="38"/>
      <c r="X388" s="38"/>
      <c r="Y388" s="38"/>
      <c r="Z388" s="38"/>
    </row>
    <row r="389" spans="1:26" ht="15.75" customHeight="1">
      <c r="A389" s="36"/>
      <c r="B389" s="96" t="s">
        <v>68</v>
      </c>
      <c r="C389" s="97">
        <v>43247</v>
      </c>
      <c r="D389" s="98" t="s">
        <v>99</v>
      </c>
      <c r="E389" s="96" t="s">
        <v>64</v>
      </c>
      <c r="F389" s="99"/>
      <c r="G389" s="99" t="s">
        <v>117</v>
      </c>
      <c r="H389" s="149" t="s">
        <v>98</v>
      </c>
      <c r="I389" s="142"/>
      <c r="J389" s="142"/>
      <c r="K389" s="143"/>
      <c r="L389" s="39"/>
      <c r="M389" s="40"/>
      <c r="N389" s="40"/>
      <c r="O389" s="53"/>
      <c r="P389" s="53"/>
      <c r="Q389" s="53"/>
      <c r="R389" s="53"/>
      <c r="S389" s="53"/>
      <c r="T389" s="53"/>
      <c r="U389" s="41"/>
      <c r="V389" s="38"/>
      <c r="W389" s="38"/>
      <c r="X389" s="38"/>
      <c r="Y389" s="38"/>
      <c r="Z389" s="38"/>
    </row>
    <row r="390" spans="1:26" ht="7.5" customHeight="1">
      <c r="A390" s="36"/>
      <c r="B390" s="37"/>
      <c r="C390" s="58"/>
      <c r="D390" s="48"/>
      <c r="E390" s="37"/>
      <c r="F390" s="42"/>
      <c r="G390" s="42"/>
      <c r="H390" s="42"/>
      <c r="I390" s="42"/>
      <c r="J390" s="42"/>
      <c r="K390" s="42"/>
      <c r="L390" s="39"/>
      <c r="M390" s="40"/>
      <c r="N390" s="40"/>
      <c r="O390" s="53"/>
      <c r="P390" s="53"/>
      <c r="Q390" s="53"/>
      <c r="R390" s="53"/>
      <c r="S390" s="53"/>
      <c r="T390" s="53"/>
      <c r="U390" s="41"/>
      <c r="V390" s="38"/>
      <c r="W390" s="38"/>
      <c r="X390" s="38"/>
      <c r="Y390" s="38"/>
      <c r="Z390" s="38"/>
    </row>
    <row r="391" spans="1:22" ht="15.75">
      <c r="A391" s="38"/>
      <c r="B391" s="112"/>
      <c r="C391" s="112"/>
      <c r="D391" s="112"/>
      <c r="E391" s="112"/>
      <c r="F391" s="112"/>
      <c r="G391" s="112"/>
      <c r="H391" s="112"/>
      <c r="I391" s="112"/>
      <c r="J391" s="112"/>
      <c r="K391" s="112"/>
      <c r="L391" s="6"/>
      <c r="M391" s="38"/>
      <c r="N391" s="38"/>
      <c r="O391" s="38"/>
      <c r="P391" s="38"/>
      <c r="Q391" s="38"/>
      <c r="R391" s="38"/>
      <c r="S391" s="38"/>
      <c r="T391" s="38"/>
      <c r="U391" s="38"/>
      <c r="V391" s="38"/>
    </row>
  </sheetData>
  <sheetProtection/>
  <mergeCells count="44">
    <mergeCell ref="F97:K97"/>
    <mergeCell ref="H211:K211"/>
    <mergeCell ref="B233:K233"/>
    <mergeCell ref="F161:K161"/>
    <mergeCell ref="F163:K163"/>
    <mergeCell ref="H387:K387"/>
    <mergeCell ref="H389:K389"/>
    <mergeCell ref="H355:K355"/>
    <mergeCell ref="F335:K335"/>
    <mergeCell ref="B123:K123"/>
    <mergeCell ref="H313:K313"/>
    <mergeCell ref="H297:K297"/>
    <mergeCell ref="H381:K381"/>
    <mergeCell ref="H369:K369"/>
    <mergeCell ref="H377:K377"/>
    <mergeCell ref="H337:K337"/>
    <mergeCell ref="H327:K327"/>
    <mergeCell ref="B287:K287"/>
    <mergeCell ref="H279:K279"/>
    <mergeCell ref="F95:K95"/>
    <mergeCell ref="B79:K79"/>
    <mergeCell ref="F63:K63"/>
    <mergeCell ref="B41:K41"/>
    <mergeCell ref="B5:K5"/>
    <mergeCell ref="B7:C7"/>
    <mergeCell ref="J7:K7"/>
    <mergeCell ref="H385:K385"/>
    <mergeCell ref="H383:K383"/>
    <mergeCell ref="B341:K341"/>
    <mergeCell ref="F343:K343"/>
    <mergeCell ref="F165:K165"/>
    <mergeCell ref="F167:K167"/>
    <mergeCell ref="B169:K169"/>
    <mergeCell ref="H195:K195"/>
    <mergeCell ref="H179:K179"/>
    <mergeCell ref="F339:K339"/>
    <mergeCell ref="B1:K1"/>
    <mergeCell ref="L1:U1"/>
    <mergeCell ref="B9:K9"/>
    <mergeCell ref="F11:K11"/>
    <mergeCell ref="B2:K2"/>
    <mergeCell ref="B3:K3"/>
    <mergeCell ref="B6:K6"/>
    <mergeCell ref="B4:K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P23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2" width="8.00390625" style="0" customWidth="1"/>
    <col min="3" max="4" width="23.421875" style="0" customWidth="1"/>
    <col min="5" max="15" width="8.00390625" style="0" customWidth="1"/>
    <col min="16" max="16" width="5.140625" style="0" customWidth="1"/>
    <col min="17" max="17" width="23.421875" style="0" customWidth="1"/>
    <col min="18" max="18" width="7.57421875" style="0" customWidth="1"/>
    <col min="19" max="32" width="5.140625" style="0" customWidth="1"/>
    <col min="33" max="42" width="8.00390625" style="0" customWidth="1"/>
  </cols>
  <sheetData>
    <row r="1" spans="1:42" ht="12.75" customHeight="1">
      <c r="A1" s="1"/>
      <c r="B1" s="1"/>
      <c r="C1" s="159" t="s">
        <v>0</v>
      </c>
      <c r="D1" s="143"/>
      <c r="E1" s="158"/>
      <c r="F1" s="143"/>
      <c r="G1" s="172"/>
      <c r="H1" s="142"/>
      <c r="I1" s="142"/>
      <c r="J1" s="142"/>
      <c r="K1" s="142"/>
      <c r="L1" s="142"/>
      <c r="M1" s="142"/>
      <c r="N1" s="143"/>
      <c r="O1" s="3"/>
      <c r="P1" s="4"/>
      <c r="Q1" s="4" t="s">
        <v>3</v>
      </c>
      <c r="R1" s="4" t="s">
        <v>3</v>
      </c>
      <c r="S1" s="157" t="s">
        <v>4</v>
      </c>
      <c r="T1" s="142"/>
      <c r="U1" s="142"/>
      <c r="V1" s="143"/>
      <c r="W1" s="156" t="s">
        <v>5</v>
      </c>
      <c r="X1" s="142"/>
      <c r="Y1" s="143"/>
      <c r="Z1" s="156" t="s">
        <v>6</v>
      </c>
      <c r="AA1" s="142"/>
      <c r="AB1" s="143"/>
      <c r="AC1" s="156" t="s">
        <v>7</v>
      </c>
      <c r="AD1" s="142"/>
      <c r="AE1" s="142"/>
      <c r="AF1" s="143"/>
      <c r="AG1" s="5"/>
      <c r="AH1" s="6"/>
      <c r="AI1" s="6"/>
      <c r="AJ1" s="6"/>
      <c r="AK1" s="6"/>
      <c r="AL1" s="6"/>
      <c r="AM1" s="6"/>
      <c r="AN1" s="6"/>
      <c r="AO1" s="6"/>
      <c r="AP1" s="6"/>
    </row>
    <row r="2" spans="1:42" ht="12.75" customHeight="1">
      <c r="A2" s="7" t="s">
        <v>8</v>
      </c>
      <c r="B2" s="7" t="s">
        <v>9</v>
      </c>
      <c r="C2" s="7" t="s">
        <v>10</v>
      </c>
      <c r="D2" s="7" t="s">
        <v>11</v>
      </c>
      <c r="E2" s="159" t="s">
        <v>5</v>
      </c>
      <c r="F2" s="143"/>
      <c r="G2" s="160">
        <v>1</v>
      </c>
      <c r="H2" s="143"/>
      <c r="I2" s="159">
        <v>2</v>
      </c>
      <c r="J2" s="143"/>
      <c r="K2" s="160">
        <v>3</v>
      </c>
      <c r="L2" s="143"/>
      <c r="M2" s="159" t="s">
        <v>12</v>
      </c>
      <c r="N2" s="143"/>
      <c r="O2" s="3"/>
      <c r="P2" s="4" t="s">
        <v>13</v>
      </c>
      <c r="Q2" s="4" t="s">
        <v>14</v>
      </c>
      <c r="R2" s="4" t="s">
        <v>6</v>
      </c>
      <c r="S2" s="8" t="s">
        <v>12</v>
      </c>
      <c r="T2" s="9" t="s">
        <v>15</v>
      </c>
      <c r="U2" s="9" t="s">
        <v>16</v>
      </c>
      <c r="V2" s="4" t="s">
        <v>17</v>
      </c>
      <c r="W2" s="9" t="s">
        <v>15</v>
      </c>
      <c r="X2" s="4" t="s">
        <v>16</v>
      </c>
      <c r="Y2" s="4" t="s">
        <v>18</v>
      </c>
      <c r="Z2" s="9" t="s">
        <v>15</v>
      </c>
      <c r="AA2" s="4" t="s">
        <v>16</v>
      </c>
      <c r="AB2" s="4" t="s">
        <v>18</v>
      </c>
      <c r="AC2" s="114" t="s">
        <v>246</v>
      </c>
      <c r="AD2" s="114" t="s">
        <v>247</v>
      </c>
      <c r="AE2" s="114" t="s">
        <v>248</v>
      </c>
      <c r="AF2" s="114" t="s">
        <v>249</v>
      </c>
      <c r="AG2" s="5"/>
      <c r="AH2" s="6"/>
      <c r="AI2" s="6"/>
      <c r="AJ2" s="6"/>
      <c r="AK2" s="6"/>
      <c r="AL2" s="6"/>
      <c r="AM2" s="6"/>
      <c r="AN2" s="6"/>
      <c r="AO2" s="6"/>
      <c r="AP2" s="6"/>
    </row>
    <row r="3" spans="1:42" ht="12.75" customHeight="1">
      <c r="A3" s="1" t="s">
        <v>250</v>
      </c>
      <c r="B3" s="1" t="s">
        <v>32</v>
      </c>
      <c r="C3" s="7" t="s">
        <v>41</v>
      </c>
      <c r="D3" s="77" t="s">
        <v>251</v>
      </c>
      <c r="E3" s="1">
        <v>2</v>
      </c>
      <c r="F3" s="1">
        <v>0</v>
      </c>
      <c r="G3" s="1">
        <v>25</v>
      </c>
      <c r="H3" s="1">
        <v>21</v>
      </c>
      <c r="I3" s="1">
        <v>25</v>
      </c>
      <c r="J3" s="1">
        <v>16</v>
      </c>
      <c r="K3" s="1">
        <v>0</v>
      </c>
      <c r="L3" s="1">
        <v>0</v>
      </c>
      <c r="M3" s="1">
        <f>G3+I3+K3</f>
        <v>50</v>
      </c>
      <c r="N3" s="1">
        <f>H3+J3+L3</f>
        <v>37</v>
      </c>
      <c r="O3" s="5"/>
      <c r="P3" s="7">
        <v>1</v>
      </c>
      <c r="Q3" s="7" t="s">
        <v>252</v>
      </c>
      <c r="R3" s="2">
        <f aca="true" t="shared" si="0" ref="R3:R12">AC3*3+AD3*3+AE3*1</f>
        <v>12</v>
      </c>
      <c r="S3" s="1">
        <f aca="true" t="shared" si="1" ref="S3:S12">T3+U3+V3</f>
        <v>4</v>
      </c>
      <c r="T3" s="13">
        <f>COUNTIF($E$5,"=2")+COUNTIF($E$9,"=2")+COUNTIF($F$13,"=2")+COUNTIF($E$22,"=2")</f>
        <v>4</v>
      </c>
      <c r="U3" s="13">
        <f>SUM(IF($E$5&lt;$F$5,1,0))+SUM(IF($E$9&lt;$F$9,1,0))+SUM(IF($F$13&lt;$E$13,1,0))+SUM(IF($E$22&lt;$F$22,1,0))</f>
        <v>0</v>
      </c>
      <c r="V3" s="18"/>
      <c r="W3" s="13">
        <f>$E$5+$E$9+$F$13+$E$22</f>
        <v>8</v>
      </c>
      <c r="X3" s="13">
        <f>$F$5+$F$9+$E$13+$F$22</f>
        <v>0</v>
      </c>
      <c r="Y3" s="23" t="str">
        <f aca="true" t="shared" si="2" ref="Y3:Y12">IF(X3=0,"MAX",W3/X3)</f>
        <v>MAX</v>
      </c>
      <c r="Z3" s="13">
        <f>$M$5+$M$9+$N$13+$M$22</f>
        <v>200</v>
      </c>
      <c r="AA3" s="13">
        <f>$N$5+$N$9+$M$13+$N$22</f>
        <v>108</v>
      </c>
      <c r="AB3" s="23">
        <f aca="true" t="shared" si="3" ref="AB3:AB12">IF(AA3=0,"MAX",Z3/AA3)</f>
        <v>1.8518518518518519</v>
      </c>
      <c r="AC3" s="13">
        <f>SUM(IF(AND($E$5=2,$F$5=0),1,0))+SUM(IF(AND($E$9=2,$F$9=0),1,0))+SUM(IF(AND($F$13=2,$E$13=0),1,0))+SUM(IF(AND($E$22=2,$F$22=0),1,0))</f>
        <v>4</v>
      </c>
      <c r="AD3" s="13">
        <f>SUM(IF(AND($E$5=2,$F$5=1),1,0))+SUM(IF(AND($E$9=2,$F$9=1),1,0))+SUM(IF(AND($F$13=2,$E$13=1),1,0))+SUM(IF(AND($E$22=2,$F$22=1),1,0))</f>
        <v>0</v>
      </c>
      <c r="AE3" s="13">
        <f>SUM(IF(AND($E$5=1,$F$5=2),1,0))+SUM(IF(AND($E$9=1,$F$9=2),1,0))+SUM(IF(AND($F$13=1,$E$13=2),1,0))+SUM(IF(AND($E$22=1,$F$22=2),1,0))</f>
        <v>0</v>
      </c>
      <c r="AF3" s="13">
        <f>SUM(IF(AND($E$5=0,$F$5=2),1,0))+SUM(IF(AND($E$9=0,$F$9=2),1,0))+SUM(IF(AND($F$13=0,$E$13=2),1,0))+SUM(IF(AND($E$22=0,$F$22=2),1,0))</f>
        <v>0</v>
      </c>
      <c r="AG3" s="5"/>
      <c r="AH3" s="6"/>
      <c r="AI3" s="6"/>
      <c r="AJ3" s="6"/>
      <c r="AK3" s="6"/>
      <c r="AL3" s="6"/>
      <c r="AM3" s="6"/>
      <c r="AN3" s="6"/>
      <c r="AO3" s="6"/>
      <c r="AP3" s="6"/>
    </row>
    <row r="4" spans="1:42" ht="12.75" customHeight="1">
      <c r="A4" s="1" t="s">
        <v>253</v>
      </c>
      <c r="B4" s="1" t="s">
        <v>32</v>
      </c>
      <c r="C4" s="7" t="s">
        <v>46</v>
      </c>
      <c r="D4" s="7" t="s">
        <v>254</v>
      </c>
      <c r="E4" s="1">
        <v>0</v>
      </c>
      <c r="F4" s="1">
        <v>2</v>
      </c>
      <c r="G4" s="1">
        <v>0</v>
      </c>
      <c r="H4" s="1">
        <v>25</v>
      </c>
      <c r="I4" s="1">
        <v>0</v>
      </c>
      <c r="J4" s="1">
        <v>25</v>
      </c>
      <c r="K4" s="1">
        <v>0</v>
      </c>
      <c r="L4" s="1">
        <v>0</v>
      </c>
      <c r="M4" s="1">
        <f>G4+I4+K4</f>
        <v>0</v>
      </c>
      <c r="N4" s="1">
        <f>H4+J4+L4</f>
        <v>50</v>
      </c>
      <c r="O4" s="5"/>
      <c r="P4" s="7">
        <v>2</v>
      </c>
      <c r="Q4" s="11" t="s">
        <v>41</v>
      </c>
      <c r="R4" s="2">
        <f t="shared" si="0"/>
        <v>9</v>
      </c>
      <c r="S4" s="1">
        <f t="shared" si="1"/>
        <v>4</v>
      </c>
      <c r="T4" s="13">
        <f>COUNTIF($E$3,"=2")+COUNTIF($E$12,"=2")+COUNTIF($E$13,"=2")+COUNTIF($E$19,"=2")</f>
        <v>3</v>
      </c>
      <c r="U4" s="13">
        <f>SUM(IF($E$3&lt;$F$3,1,0))+SUM(IF($E$12&lt;$F$12,1,0))+SUM(IF($E$13&lt;$F$13,1,0))+SUM(IF($E$19&lt;$F$19,1,0))</f>
        <v>1</v>
      </c>
      <c r="V4" s="18"/>
      <c r="W4" s="13">
        <f>$E$3+$E$12+$E$13+$E$19</f>
        <v>6</v>
      </c>
      <c r="X4" s="13">
        <f>$F$3+$F$12+$F$13+$F$19</f>
        <v>2</v>
      </c>
      <c r="Y4" s="23">
        <f t="shared" si="2"/>
        <v>3</v>
      </c>
      <c r="Z4" s="13">
        <f>$M$3+$M$12+$M$13+$M$19</f>
        <v>184</v>
      </c>
      <c r="AA4" s="13">
        <f>$N$3+$N$12+$N$13+$N$19</f>
        <v>137</v>
      </c>
      <c r="AB4" s="23">
        <f t="shared" si="3"/>
        <v>1.3430656934306568</v>
      </c>
      <c r="AC4" s="13">
        <f>SUM(IF(AND($E$3=2,$F$3=0),1,0))+SUM(IF(AND($E$12=2,$F$12=0),1,0))+SUM(IF(AND($E$13=2,$F$13=0),1,0))+SUM(IF(AND($E$19=2,$F$19=0),1,0))</f>
        <v>3</v>
      </c>
      <c r="AD4" s="13">
        <f>SUM(IF(AND($E$3=2,$F$3=1),1,0))+SUM(IF(AND($E$12=2,$F$12=1),1,0))+SUM(IF(AND($E$13=2,$F$13=1),1,0))+SUM(IF(AND($E$19=2,$F$19=1),1,0))</f>
        <v>0</v>
      </c>
      <c r="AE4" s="13">
        <f>SUM(IF(AND($E$3=1,$F$3=2),1,0))+SUM(IF(AND($E$12=1,$F$12=2),1,0))+SUM(IF(AND($E$13=1,$F$13=2),1,0))+SUM(IF(AND($E$19=1,$F$19=2),1,0))</f>
        <v>0</v>
      </c>
      <c r="AF4" s="13">
        <f>SUM(IF(AND($E$3=0,$F$3=2),1,0))+SUM(IF(AND($E$12=0,$F$12=2),1,0))+SUM(IF(AND($E$13=0,$F$13=2),1,0))+SUM(IF(AND($E$19=0,$F$19=2),1,0))</f>
        <v>1</v>
      </c>
      <c r="AG4" s="5"/>
      <c r="AH4" s="6"/>
      <c r="AI4" s="6"/>
      <c r="AJ4" s="6"/>
      <c r="AK4" s="6"/>
      <c r="AL4" s="6"/>
      <c r="AM4" s="6"/>
      <c r="AN4" s="6"/>
      <c r="AO4" s="6"/>
      <c r="AP4" s="6"/>
    </row>
    <row r="5" spans="1:42" ht="12.75" customHeight="1">
      <c r="A5" s="1" t="s">
        <v>255</v>
      </c>
      <c r="B5" s="1" t="s">
        <v>32</v>
      </c>
      <c r="C5" s="7" t="s">
        <v>252</v>
      </c>
      <c r="D5" s="11" t="s">
        <v>256</v>
      </c>
      <c r="E5" s="1">
        <v>2</v>
      </c>
      <c r="F5" s="1">
        <v>0</v>
      </c>
      <c r="G5" s="1">
        <v>25</v>
      </c>
      <c r="H5" s="1">
        <v>19</v>
      </c>
      <c r="I5" s="1">
        <v>25</v>
      </c>
      <c r="J5" s="1">
        <v>5</v>
      </c>
      <c r="K5" s="1">
        <v>0</v>
      </c>
      <c r="L5" s="1">
        <v>0</v>
      </c>
      <c r="M5" s="1">
        <f>G5+I5+K5</f>
        <v>50</v>
      </c>
      <c r="N5" s="1">
        <f>H5+J5+L5</f>
        <v>24</v>
      </c>
      <c r="O5" s="5"/>
      <c r="P5" s="7">
        <v>3</v>
      </c>
      <c r="Q5" s="7" t="s">
        <v>33</v>
      </c>
      <c r="R5" s="2">
        <f t="shared" si="0"/>
        <v>9</v>
      </c>
      <c r="S5" s="1">
        <f t="shared" si="1"/>
        <v>4</v>
      </c>
      <c r="T5" s="13">
        <f>COUNTIF($E$6,"=2")+COUNTIF($E$10,"=2")+COUNTIF($F$14,"=2")+COUNTIF($F$18,"=2")</f>
        <v>3</v>
      </c>
      <c r="U5" s="13">
        <f>SUM(IF($E$6&lt;$F$6,1,0))+SUM(IF($E$10&lt;$F$10,1,0))+SUM(IF($F$14&lt;$E$14,1,0))+SUM(IF($F$18&lt;$E$18,1,0))</f>
        <v>1</v>
      </c>
      <c r="V5" s="18"/>
      <c r="W5" s="13">
        <f>$E$6+$E$10+$F$14+$F$18</f>
        <v>6</v>
      </c>
      <c r="X5" s="13">
        <f>$F$6+$F$10+$E$14+$E$18</f>
        <v>2</v>
      </c>
      <c r="Y5" s="23">
        <f t="shared" si="2"/>
        <v>3</v>
      </c>
      <c r="Z5" s="13">
        <f>$M$6+$M$10+$N$14+$N$18</f>
        <v>189</v>
      </c>
      <c r="AA5" s="13">
        <f>$N$6+$N$10+$M$14+$M$18</f>
        <v>152</v>
      </c>
      <c r="AB5" s="23">
        <f t="shared" si="3"/>
        <v>1.243421052631579</v>
      </c>
      <c r="AC5" s="13">
        <f>SUM(IF(AND($E$6=2,$F$6=0),1,0))+SUM(IF(AND($E$10=2,$F$10=0),1,0))+SUM(IF(AND($F$14=2,$E$14=0),1,0))+SUM(IF(AND($F$18=2,$E$18=0),1,0))</f>
        <v>3</v>
      </c>
      <c r="AD5" s="13">
        <f>SUM(IF(AND($E$6=2,$F$6=1),1,0))+SUM(IF(AND($E$10=2,$F$10=1),1,0))+SUM(IF(AND($F$14=2,$E$14=1),1,0))+SUM(IF(AND($F$18=2,$E$18=1),1,0))</f>
        <v>0</v>
      </c>
      <c r="AE5" s="13">
        <f>SUM(IF(AND($E$6=1,$F$6=2),1,0))+SUM(IF(AND($E$10=1,$F$10=2),1,0))+SUM(IF(AND($F$14=1,$E$14=2),1,0))+SUM(IF(AND($F$18=1,$E$18=2),1,0))</f>
        <v>0</v>
      </c>
      <c r="AF5" s="13">
        <f>SUM(IF(AND($E$6=0,$F$6=2),1,0))+SUM(IF(AND($E$10=0,$F$10=2),1,0))+SUM(IF(AND($F$14=0,$E$14=2),1,0))+SUM(IF(AND($F$18=0,$E$18=2),1,0))</f>
        <v>1</v>
      </c>
      <c r="AG5" s="5"/>
      <c r="AH5" s="6"/>
      <c r="AI5" s="6"/>
      <c r="AJ5" s="6"/>
      <c r="AK5" s="6"/>
      <c r="AL5" s="6"/>
      <c r="AM5" s="6"/>
      <c r="AN5" s="6"/>
      <c r="AO5" s="6"/>
      <c r="AP5" s="6"/>
    </row>
    <row r="6" spans="1:42" ht="12.75" customHeight="1">
      <c r="A6" s="1" t="s">
        <v>257</v>
      </c>
      <c r="B6" s="1" t="s">
        <v>32</v>
      </c>
      <c r="C6" s="7" t="s">
        <v>33</v>
      </c>
      <c r="D6" s="7" t="s">
        <v>258</v>
      </c>
      <c r="E6" s="1">
        <v>2</v>
      </c>
      <c r="F6" s="1">
        <v>0</v>
      </c>
      <c r="G6" s="1">
        <v>25</v>
      </c>
      <c r="H6" s="1">
        <v>21</v>
      </c>
      <c r="I6" s="1">
        <v>25</v>
      </c>
      <c r="J6" s="1">
        <v>8</v>
      </c>
      <c r="K6" s="1">
        <v>0</v>
      </c>
      <c r="L6" s="1">
        <v>0</v>
      </c>
      <c r="M6" s="1">
        <f>G6+I6+K6</f>
        <v>50</v>
      </c>
      <c r="N6" s="1">
        <f>H6+J6+L6</f>
        <v>29</v>
      </c>
      <c r="O6" s="5"/>
      <c r="P6" s="7">
        <v>4</v>
      </c>
      <c r="Q6" s="11" t="s">
        <v>256</v>
      </c>
      <c r="R6" s="2">
        <f t="shared" si="0"/>
        <v>9</v>
      </c>
      <c r="S6" s="1">
        <f t="shared" si="1"/>
        <v>4</v>
      </c>
      <c r="T6" s="13">
        <f>COUNTIF($F$5,"=2")+COUNTIF($F$11,"=2")+COUNTIF($E$16,"=2")+COUNTIF($F$20,"=2")</f>
        <v>3</v>
      </c>
      <c r="U6" s="13">
        <f>SUM(IF($F$5&lt;$E$5,1,0))+SUM(IF($F$11&lt;$E$11,1,0))+SUM(IF($E$16&lt;$F$16,1,0))+SUM(IF($F$20&lt;$E$20,1,0))</f>
        <v>1</v>
      </c>
      <c r="V6" s="18"/>
      <c r="W6" s="13">
        <f>$F$5+$F$11+$E$16+$F$20</f>
        <v>6</v>
      </c>
      <c r="X6" s="13">
        <f>$E$5+$E$11+$F$16+$E$20</f>
        <v>3</v>
      </c>
      <c r="Y6" s="23">
        <f t="shared" si="2"/>
        <v>2</v>
      </c>
      <c r="Z6" s="13">
        <f>$N$5+$N$11+$M$16+$N$20</f>
        <v>191</v>
      </c>
      <c r="AA6" s="13">
        <f>$M$5+$M$11+$N$16+$M$20</f>
        <v>193</v>
      </c>
      <c r="AB6" s="23">
        <f t="shared" si="3"/>
        <v>0.9896373056994818</v>
      </c>
      <c r="AC6" s="13">
        <f>SUM(IF(AND($F$5=2,$E$5=0),1,0))+SUM(IF(AND($F$11=2,$E$11=0),1,0))+SUM(IF(AND($E$16=2,$F$16=0),1,0))+SUM(IF(AND($F$20=2,$E$20=0),1,0))</f>
        <v>2</v>
      </c>
      <c r="AD6" s="13">
        <f>SUM(IF(AND($F$5=2,$E$5=1),1,0))+SUM(IF(AND($F$11=2,$E$11=1),1,0))+SUM(IF(AND($E$16=2,$F$16=1),1,0))+SUM(IF(AND($F$20=2,$E$20=1),1,0))</f>
        <v>1</v>
      </c>
      <c r="AE6" s="13">
        <f>SUM(IF(AND($F$5=1,$E$5=2),1,0))+SUM(IF(AND($F$11=1,$E$11=2),1,0))+SUM(IF(AND($E$16=1,$F$16=2),1,0))+SUM(IF(AND($F$20=1,$E$20=2),1,0))</f>
        <v>0</v>
      </c>
      <c r="AF6" s="13">
        <f>SUM(IF(AND($F$5=0,$E$5=2),1,0))+SUM(IF(AND($F$11=0,$E$11=2),1,0))+SUM(IF(AND($E$16=0,$F$16=2),1,0))+SUM(IF(AND($F$20=0,$E$20=2),1,0))</f>
        <v>1</v>
      </c>
      <c r="AG6" s="5"/>
      <c r="AH6" s="6"/>
      <c r="AI6" s="6"/>
      <c r="AJ6" s="6"/>
      <c r="AK6" s="6"/>
      <c r="AL6" s="6"/>
      <c r="AM6" s="6"/>
      <c r="AN6" s="6"/>
      <c r="AO6" s="6"/>
      <c r="AP6" s="6"/>
    </row>
    <row r="7" spans="1:42" ht="12.75" customHeight="1">
      <c r="A7" s="1" t="s">
        <v>259</v>
      </c>
      <c r="B7" s="1" t="s">
        <v>32</v>
      </c>
      <c r="C7" s="7" t="s">
        <v>154</v>
      </c>
      <c r="D7" s="7" t="s">
        <v>260</v>
      </c>
      <c r="E7" s="1">
        <v>0</v>
      </c>
      <c r="F7" s="1">
        <v>2</v>
      </c>
      <c r="G7" s="1">
        <v>0</v>
      </c>
      <c r="H7" s="1">
        <v>25</v>
      </c>
      <c r="I7" s="1">
        <v>0</v>
      </c>
      <c r="J7" s="1">
        <v>25</v>
      </c>
      <c r="K7" s="1">
        <v>0</v>
      </c>
      <c r="L7" s="1">
        <v>0</v>
      </c>
      <c r="M7" s="1">
        <f>G7+I7+K7</f>
        <v>0</v>
      </c>
      <c r="N7" s="1">
        <f>H7+J7+L7</f>
        <v>50</v>
      </c>
      <c r="O7" s="5"/>
      <c r="P7" s="7">
        <v>5</v>
      </c>
      <c r="Q7" s="7" t="s">
        <v>260</v>
      </c>
      <c r="R7" s="2">
        <f t="shared" si="0"/>
        <v>6</v>
      </c>
      <c r="S7" s="1">
        <f t="shared" si="1"/>
        <v>4</v>
      </c>
      <c r="T7" s="13">
        <f>COUNTIF($F$7,"=2")+COUNTIF($F$12,"=2")+COUNTIF($F$17,"=2")+COUNTIF($F$22,"=2")</f>
        <v>2</v>
      </c>
      <c r="U7" s="13">
        <f>SUM(IF($F$7&lt;$E$7,1,0))+SUM(IF($F$12&lt;$E$12,1,0))+SUM(IF($F$17&lt;$E$17,1,0))+SUM(IF($F$22&lt;$E$22,1,0))</f>
        <v>2</v>
      </c>
      <c r="V7" s="18"/>
      <c r="W7" s="13">
        <f>$F$7+$F$12+$F$17+$F$22</f>
        <v>4</v>
      </c>
      <c r="X7" s="13">
        <f>$E$7+$E$12+$E$17+$E$22</f>
        <v>4</v>
      </c>
      <c r="Y7" s="23">
        <f t="shared" si="2"/>
        <v>1</v>
      </c>
      <c r="Z7" s="13">
        <f>$N$7+$N$12+$N$17+$N$22</f>
        <v>159</v>
      </c>
      <c r="AA7" s="13">
        <f>$M$7+$M$12+$M$17+$M$22</f>
        <v>129</v>
      </c>
      <c r="AB7" s="23">
        <f t="shared" si="3"/>
        <v>1.2325581395348837</v>
      </c>
      <c r="AC7" s="13">
        <f>SUM(IF(AND($F$7=2,$E$7=0),1,0))+SUM(IF(AND($F$12=2,$E$12=0),1,0))+SUM(IF(AND($F$17=2,$E$17=0),1,0))+SUM(IF(AND($F$22=2,$E$22=0),1,0))</f>
        <v>2</v>
      </c>
      <c r="AD7" s="13">
        <f>SUM(IF(AND($F$7=2,$E$7=1),1,0))+SUM(IF(AND($F$12=2,$E$12=1),1,0))+SUM(IF(AND($F$17=2,$E$17=1),1,0))+SUM(IF(AND($F$22=2,$E$22=1),1,0))</f>
        <v>0</v>
      </c>
      <c r="AE7" s="13">
        <f>SUM(IF(AND($F$7=1,$E$7=2),1,0))+SUM(IF(AND($F$12=1,$E$12=2),1,0))+SUM(IF(AND($F$17=1,$E$17=2),1,0))+SUM(IF(AND($F$22=1,$E$22=2),1,0))</f>
        <v>0</v>
      </c>
      <c r="AF7" s="13">
        <f>SUM(IF(AND($F$7=0,$E$7=2),1,0))+SUM(IF(AND($F$12=0,$E$12=2),1,0))+SUM(IF(AND($F$17=0,$E$17=2),1,0))+SUM(IF(AND($F$22=0,$E$22=2),1,0))</f>
        <v>2</v>
      </c>
      <c r="AG7" s="5"/>
      <c r="AH7" s="6"/>
      <c r="AI7" s="6"/>
      <c r="AJ7" s="6"/>
      <c r="AK7" s="6"/>
      <c r="AL7" s="6"/>
      <c r="AM7" s="6"/>
      <c r="AN7" s="6"/>
      <c r="AO7" s="6"/>
      <c r="AP7" s="6"/>
    </row>
    <row r="8" spans="1:42" ht="12.75" customHeight="1">
      <c r="A8" s="1" t="s">
        <v>261</v>
      </c>
      <c r="B8" s="1" t="s">
        <v>32</v>
      </c>
      <c r="C8" s="7" t="s">
        <v>154</v>
      </c>
      <c r="D8" s="7" t="s">
        <v>46</v>
      </c>
      <c r="E8" s="1"/>
      <c r="F8" s="1"/>
      <c r="G8" s="1"/>
      <c r="H8" s="1"/>
      <c r="I8" s="1"/>
      <c r="J8" s="1"/>
      <c r="K8" s="1"/>
      <c r="L8" s="1"/>
      <c r="M8" s="1">
        <f>G8+I8+K8</f>
        <v>0</v>
      </c>
      <c r="N8" s="1">
        <f>H8+J8+L8</f>
        <v>0</v>
      </c>
      <c r="O8" s="5"/>
      <c r="P8" s="7">
        <v>6</v>
      </c>
      <c r="Q8" s="7" t="s">
        <v>251</v>
      </c>
      <c r="R8" s="2">
        <f t="shared" si="0"/>
        <v>6</v>
      </c>
      <c r="S8" s="1">
        <f t="shared" si="1"/>
        <v>4</v>
      </c>
      <c r="T8" s="13">
        <f>COUNTIF($F$3,"=2")+COUNTIF($F$9,"=2")+COUNTIF($F$15,"=2")+COUNTIF($F$21,"=2")</f>
        <v>2</v>
      </c>
      <c r="U8" s="13">
        <f>SUM(IF($F$3&lt;$E$3,1,0))+SUM(IF($F$9&lt;$E$9,1,0))+SUM(IF($F$15&lt;$E$15,1,0))+SUM(IF($F$21&lt;$E$21,1,0))</f>
        <v>2</v>
      </c>
      <c r="V8" s="18"/>
      <c r="W8" s="13">
        <f>$F$3+$F$9+$F$15+$F$21</f>
        <v>4</v>
      </c>
      <c r="X8" s="13">
        <f>$E$3+$E$9+$E$15+$E$21</f>
        <v>5</v>
      </c>
      <c r="Y8" s="23">
        <f t="shared" si="2"/>
        <v>0.8</v>
      </c>
      <c r="Z8" s="13">
        <f>$N$3+$N$9+$N$15+$N$21</f>
        <v>171</v>
      </c>
      <c r="AA8" s="13">
        <f>$M$3+$M$9+$M$15+$M$21</f>
        <v>196</v>
      </c>
      <c r="AB8" s="23">
        <f t="shared" si="3"/>
        <v>0.8724489795918368</v>
      </c>
      <c r="AC8" s="13">
        <f>SUM(IF(AND($F$3=2,$E$3=0),1,0))+SUM(IF(AND($F$9=2,$E$9=0),1,0))+SUM(IF(AND($F$15=2,$E$15=0),1,0))+SUM(IF(AND($F$21=2,$E$21=0),1,0))</f>
        <v>1</v>
      </c>
      <c r="AD8" s="13">
        <f>SUM(IF(AND($F$3=2,$E$3=1),1,0))+SUM(IF(AND($F$9=2,$E$9=1),1,0))+SUM(IF(AND($F$15=2,$E$15=1),1,0))+SUM(IF(AND($F$21=2,$E$21=1),1,0))</f>
        <v>1</v>
      </c>
      <c r="AE8" s="13">
        <f>SUM(IF(AND($F$3=1,$E$3=2),1,0))+SUM(IF(AND($F$9=1,$E$9=2),1,0))+SUM(IF(AND($F$15=1,$E$15=2),1,0))+SUM(IF(AND($F$21=1,$E$21=2),1,0))</f>
        <v>0</v>
      </c>
      <c r="AF8" s="13">
        <f>SUM(IF(AND($F$3=0,$E$3=2),1,0))+SUM(IF(AND($F$9=0,$E$9=2),1,0))+SUM(IF(AND($F$15=0,$E$15=2),1,0))+SUM(IF(AND($F$21=0,$E$21=2),1,0))</f>
        <v>2</v>
      </c>
      <c r="AG8" s="122" t="s">
        <v>262</v>
      </c>
      <c r="AH8" s="6"/>
      <c r="AI8" s="6"/>
      <c r="AJ8" s="6"/>
      <c r="AK8" s="6"/>
      <c r="AL8" s="6"/>
      <c r="AM8" s="6"/>
      <c r="AN8" s="6"/>
      <c r="AO8" s="6"/>
      <c r="AP8" s="6"/>
    </row>
    <row r="9" spans="1:42" ht="12.75" customHeight="1">
      <c r="A9" s="1" t="s">
        <v>263</v>
      </c>
      <c r="B9" s="1" t="s">
        <v>32</v>
      </c>
      <c r="C9" s="7" t="s">
        <v>252</v>
      </c>
      <c r="D9" s="77" t="s">
        <v>251</v>
      </c>
      <c r="E9" s="1">
        <v>2</v>
      </c>
      <c r="F9" s="1">
        <v>0</v>
      </c>
      <c r="G9" s="1">
        <v>25</v>
      </c>
      <c r="H9" s="1">
        <v>11</v>
      </c>
      <c r="I9" s="1">
        <v>25</v>
      </c>
      <c r="J9" s="1">
        <v>7</v>
      </c>
      <c r="K9" s="1">
        <v>0</v>
      </c>
      <c r="L9" s="1">
        <v>0</v>
      </c>
      <c r="M9" s="1">
        <f>G9+I9+K9</f>
        <v>50</v>
      </c>
      <c r="N9" s="1">
        <f>H9+J9+L9</f>
        <v>18</v>
      </c>
      <c r="O9" s="5"/>
      <c r="P9" s="7">
        <v>7</v>
      </c>
      <c r="Q9" s="7" t="s">
        <v>254</v>
      </c>
      <c r="R9" s="2">
        <f t="shared" si="0"/>
        <v>4</v>
      </c>
      <c r="S9" s="1">
        <f t="shared" si="1"/>
        <v>4</v>
      </c>
      <c r="T9" s="13">
        <f>COUNTIF($F$4,"=2")+COUNTIF($F$10,"=2")+COUNTIF($F$16,"=2")+COUNTIF($E$21,"=2")</f>
        <v>1</v>
      </c>
      <c r="U9" s="13">
        <f>SUM(IF($F$4&lt;$E$4,1,0))+SUM(IF($F$10&lt;$E$10,1,0))+SUM(IF($F$16&lt;$E$16,1,0))+SUM(IF($E$21&lt;$F$21,1,0))</f>
        <v>3</v>
      </c>
      <c r="V9" s="18"/>
      <c r="W9" s="13">
        <f>$F$4+$F$10+$F$16+$E$21</f>
        <v>3</v>
      </c>
      <c r="X9" s="13">
        <f>$E$4+$E$10+$E$16+$F$21</f>
        <v>6</v>
      </c>
      <c r="Y9" s="23">
        <f t="shared" si="2"/>
        <v>0.5</v>
      </c>
      <c r="Z9" s="13">
        <f>$N$4+$N$10+$N$16+$M$21</f>
        <v>198</v>
      </c>
      <c r="AA9" s="13">
        <f>$M$4+$M$10+$M$17+$N$21</f>
        <v>133</v>
      </c>
      <c r="AB9" s="23">
        <f t="shared" si="3"/>
        <v>1.4887218045112782</v>
      </c>
      <c r="AC9" s="13">
        <f>SUM(IF(AND($F$4=2,$E$4=0),1,0))+SUM(IF(AND($F$10=2,$E$10=0),1,0))+SUM(IF(AND($F$16=2,$E$16=0),1,0))+SUM(IF(AND($E$21=2,$F$21=0),1,0))</f>
        <v>1</v>
      </c>
      <c r="AD9" s="13">
        <f>SUM(IF(AND($F$4=2,$E$4=1),1,0))+SUM(IF(AND($F$10=2,$E$10=1),1,0))+SUM(IF(AND($F$16=2,$E$16=1),1,0))+SUM(IF(AND($E$21=2,$F$21=1),1,0))</f>
        <v>0</v>
      </c>
      <c r="AE9" s="13">
        <f>SUM(IF(AND($F$4=1,$E$4=2),1,0))+SUM(IF(AND($F$10=1,$E$10=2),1,0))+SUM(IF(AND($F$16=1,$E$16=2),1,0))+SUM(IF(AND($E$21=1,$F$21=2),1,0))</f>
        <v>1</v>
      </c>
      <c r="AF9" s="13">
        <f>SUM(IF(AND($F$4=0,$E$4=2),1,0))+SUM(IF(AND($F$10=0,$E$10=2),1,0))+SUM(IF(AND($F$16=0,$E$16=2),1,0))+SUM(IF(AND($E$21=0,$F$21=2),1,0))</f>
        <v>2</v>
      </c>
      <c r="AG9" s="5"/>
      <c r="AH9" s="6"/>
      <c r="AI9" s="6"/>
      <c r="AJ9" s="6"/>
      <c r="AK9" s="6"/>
      <c r="AL9" s="6"/>
      <c r="AM9" s="6"/>
      <c r="AN9" s="6"/>
      <c r="AO9" s="6"/>
      <c r="AP9" s="6"/>
    </row>
    <row r="10" spans="1:42" ht="12.75" customHeight="1">
      <c r="A10" s="1" t="s">
        <v>264</v>
      </c>
      <c r="B10" s="1" t="s">
        <v>32</v>
      </c>
      <c r="C10" s="7" t="s">
        <v>33</v>
      </c>
      <c r="D10" s="7" t="s">
        <v>254</v>
      </c>
      <c r="E10" s="1">
        <v>2</v>
      </c>
      <c r="F10" s="1">
        <v>0</v>
      </c>
      <c r="G10" s="1">
        <v>25</v>
      </c>
      <c r="H10" s="1">
        <v>16</v>
      </c>
      <c r="I10" s="1">
        <v>25</v>
      </c>
      <c r="J10" s="1">
        <v>18</v>
      </c>
      <c r="K10" s="1">
        <v>0</v>
      </c>
      <c r="L10" s="1">
        <v>0</v>
      </c>
      <c r="M10" s="1">
        <f>G10+I10+K10</f>
        <v>50</v>
      </c>
      <c r="N10" s="1">
        <f>H10+J10+L10</f>
        <v>34</v>
      </c>
      <c r="O10" s="5"/>
      <c r="P10" s="7">
        <v>8</v>
      </c>
      <c r="Q10" s="7" t="s">
        <v>154</v>
      </c>
      <c r="R10" s="2">
        <f t="shared" si="0"/>
        <v>3</v>
      </c>
      <c r="S10" s="1">
        <f t="shared" si="1"/>
        <v>3</v>
      </c>
      <c r="T10" s="13">
        <f>COUNTIF($E$7,"=2")+COUNTIF($E$8,"=2")+COUNTIF($E$14,"=2")+COUNTIF($E$20,"=2")</f>
        <v>1</v>
      </c>
      <c r="U10" s="13">
        <f>SUM(IF($E$7&lt;$F$7,1,0))+SUM(IF($E$8&lt;$F$8,1,0))+SUM(IF($E$14&lt;$F$14,1,0))+SUM(IF($E$20&lt;$F$20,1,0))-1</f>
        <v>1</v>
      </c>
      <c r="V10" s="18">
        <v>1</v>
      </c>
      <c r="W10" s="13">
        <f>$E$7+$E$8+$E$14+$E$20</f>
        <v>2</v>
      </c>
      <c r="X10" s="13">
        <f>$F$7+$F$8+$F$14+$F$20</f>
        <v>4</v>
      </c>
      <c r="Y10" s="23">
        <f t="shared" si="2"/>
        <v>0.5</v>
      </c>
      <c r="Z10" s="13">
        <f>$M$7+$M$8+$M$14+$M$20</f>
        <v>89</v>
      </c>
      <c r="AA10" s="13">
        <f>$N$7+$N$8+$N$14+$N$20</f>
        <v>139</v>
      </c>
      <c r="AB10" s="23">
        <f t="shared" si="3"/>
        <v>0.6402877697841727</v>
      </c>
      <c r="AC10" s="13">
        <f>SUM(IF(AND($E$7=2,$F$7=0),1,0))+SUM(IF(AND($E$8=2,$F$8=0),1,0))+SUM(IF(AND($E$14=2,$F$14=0),1,0))+SUM(IF(AND($E$20=2,$F$20=0),1,0))</f>
        <v>1</v>
      </c>
      <c r="AD10" s="13">
        <f>SUM(IF(AND($E$7=2,$F$7=1),1,0))+SUM(IF(AND($E$8=2,$F$8=1),1,0))+SUM(IF(AND($E$14=2,$F$14=1),1,0))+SUM(IF(AND($E$20=2,$F$20=1),1,0))</f>
        <v>0</v>
      </c>
      <c r="AE10" s="13">
        <f>SUM(IF(AND($E$7=1,$F$7=2),1,0))+SUM(IF(AND($E$8=1,$F$8=2),1,0))+SUM(IF(AND($E$14=1,$F$14=2),1,0))+SUM(IF(AND($E$20=1,$F$20=2),1,0))</f>
        <v>0</v>
      </c>
      <c r="AF10" s="13">
        <f>SUM(IF(AND($E$7=0,$F$7=2),1,0))+SUM(IF(AND($E$8=0,$F$8=2),1,0))+SUM(IF(AND($E$14=0,$F$14=2),1,0))+SUM(IF(AND($E$20=0,$F$20=2),1,0))</f>
        <v>2</v>
      </c>
      <c r="AG10" s="5"/>
      <c r="AH10" s="6"/>
      <c r="AI10" s="6"/>
      <c r="AJ10" s="6"/>
      <c r="AK10" s="6"/>
      <c r="AL10" s="6"/>
      <c r="AM10" s="6"/>
      <c r="AN10" s="6"/>
      <c r="AO10" s="6"/>
      <c r="AP10" s="6"/>
    </row>
    <row r="11" spans="1:42" ht="12.75" customHeight="1">
      <c r="A11" s="1" t="s">
        <v>265</v>
      </c>
      <c r="B11" s="1" t="s">
        <v>32</v>
      </c>
      <c r="C11" s="7" t="s">
        <v>258</v>
      </c>
      <c r="D11" s="11" t="s">
        <v>256</v>
      </c>
      <c r="E11" s="1">
        <v>0</v>
      </c>
      <c r="F11" s="1">
        <v>2</v>
      </c>
      <c r="G11" s="1">
        <v>16</v>
      </c>
      <c r="H11" s="1">
        <v>25</v>
      </c>
      <c r="I11" s="1">
        <v>22</v>
      </c>
      <c r="J11" s="1">
        <v>25</v>
      </c>
      <c r="K11" s="1">
        <v>0</v>
      </c>
      <c r="L11" s="1">
        <v>0</v>
      </c>
      <c r="M11" s="1">
        <f>G11+I11+K11</f>
        <v>38</v>
      </c>
      <c r="N11" s="1">
        <f>H11+J11+L11</f>
        <v>50</v>
      </c>
      <c r="O11" s="5"/>
      <c r="P11" s="7">
        <v>9</v>
      </c>
      <c r="Q11" s="7" t="s">
        <v>258</v>
      </c>
      <c r="R11" s="2">
        <f t="shared" si="0"/>
        <v>1</v>
      </c>
      <c r="S11" s="1">
        <f t="shared" si="1"/>
        <v>4</v>
      </c>
      <c r="T11" s="13">
        <f>COUNTIF($F$6,"=2")+COUNTIF($E$11,"=2")+COUNTIF($E$15,"=2")+COUNTIF($F$19,"=2")</f>
        <v>0</v>
      </c>
      <c r="U11" s="13">
        <f>SUM(IF($F$6&lt;$E$6,1,0))+SUM(IF($E$11&lt;$F$11,1,0))+SUM(IF($E$15&lt;$F$15,1,0))+SUM(IF($F$19&lt;$E$19,1,0))</f>
        <v>4</v>
      </c>
      <c r="V11" s="18"/>
      <c r="W11" s="13">
        <f>$F$6+$E$11+$E$15+$F$19</f>
        <v>1</v>
      </c>
      <c r="X11" s="13">
        <f>$E$6+$F$11+$F$15+$E$19</f>
        <v>8</v>
      </c>
      <c r="Y11" s="23">
        <f t="shared" si="2"/>
        <v>0.125</v>
      </c>
      <c r="Z11" s="13">
        <f>$N$6+$M$11+$M$15+$N$19</f>
        <v>138</v>
      </c>
      <c r="AA11" s="13">
        <f>$M$6+$N$11+$N$15+$M$19</f>
        <v>212</v>
      </c>
      <c r="AB11" s="23">
        <f t="shared" si="3"/>
        <v>0.6509433962264151</v>
      </c>
      <c r="AC11" s="13">
        <f>SUM(IF(AND($F$6=2,$E$6=0),1,0))+SUM(IF(AND($E$11=2,$F$11=0),1,0))+SUM(IF(AND($E$15=2,$F$15=0),1,0))+SUM(IF(AND($F$19=2,$E$19=0),1,0))</f>
        <v>0</v>
      </c>
      <c r="AD11" s="13">
        <f>SUM(IF(AND($F$6=2,$E$6=1),1,0))+SUM(IF(AND($E$11=2,$F$11=1),1,0))+SUM(IF(AND($E$15=2,$F$15=1),1,0))+SUM(IF(AND($F$19=2,$E$19=1),1,0))</f>
        <v>0</v>
      </c>
      <c r="AE11" s="13">
        <f>SUM(IF(AND($F$6=1,$E$6=2),1,0))+SUM(IF(AND($E$11=1,$F$11=2),1,0))+SUM(IF(AND($E$15=1,$F$15=2),1,0))+SUM(IF(AND($F$19=1,$E$19=2),1,0))</f>
        <v>1</v>
      </c>
      <c r="AF11" s="13">
        <f>SUM(IF(AND($F$6=0,$E$6=2),1,0))+SUM(IF(AND($E$11=0,$F$11=2),1,0))+SUM(IF(AND($E$15=0,$F$15=2),1,0))+SUM(IF(AND($F$19=0,$E$19=2),1,0))</f>
        <v>3</v>
      </c>
      <c r="AG11" s="5"/>
      <c r="AH11" s="6"/>
      <c r="AI11" s="6"/>
      <c r="AJ11" s="6"/>
      <c r="AK11" s="6"/>
      <c r="AL11" s="6"/>
      <c r="AM11" s="6"/>
      <c r="AN11" s="6"/>
      <c r="AO11" s="6"/>
      <c r="AP11" s="6"/>
    </row>
    <row r="12" spans="1:42" ht="12.75" customHeight="1">
      <c r="A12" s="1" t="s">
        <v>266</v>
      </c>
      <c r="B12" s="1" t="s">
        <v>32</v>
      </c>
      <c r="C12" s="7" t="s">
        <v>41</v>
      </c>
      <c r="D12" s="7" t="s">
        <v>260</v>
      </c>
      <c r="E12" s="1">
        <v>2</v>
      </c>
      <c r="F12" s="1">
        <v>0</v>
      </c>
      <c r="G12" s="1">
        <v>25</v>
      </c>
      <c r="H12" s="1">
        <v>12</v>
      </c>
      <c r="I12" s="1">
        <v>25</v>
      </c>
      <c r="J12" s="1">
        <v>15</v>
      </c>
      <c r="K12" s="1">
        <v>0</v>
      </c>
      <c r="L12" s="1">
        <v>0</v>
      </c>
      <c r="M12" s="1">
        <f>G12+I12+K12</f>
        <v>50</v>
      </c>
      <c r="N12" s="1">
        <f>H12+J12+L12</f>
        <v>27</v>
      </c>
      <c r="O12" s="5"/>
      <c r="P12" s="7">
        <v>10</v>
      </c>
      <c r="Q12" s="7" t="s">
        <v>46</v>
      </c>
      <c r="R12" s="2">
        <f t="shared" si="0"/>
        <v>0</v>
      </c>
      <c r="S12" s="1">
        <f t="shared" si="1"/>
        <v>3</v>
      </c>
      <c r="T12" s="13">
        <f>COUNTIF($E$4,"=2")+COUNTIF($F$8,"=2")+COUNTIF($E$17,"=2")+COUNTIF($E$18,"=2")</f>
        <v>0</v>
      </c>
      <c r="U12" s="13">
        <f>SUM(IF($E$4&lt;$F$4,1,0))+SUM(IF($F$8&lt;$E$8,1,0))+SUM(IF($E$17&lt;$F$17,1,0)+SUM(IF($E$18&lt;$F$18,1,0)-1))</f>
        <v>2</v>
      </c>
      <c r="V12" s="18">
        <v>1</v>
      </c>
      <c r="W12" s="13">
        <f>$E$4+$F$8+$E$17+$E$18</f>
        <v>0</v>
      </c>
      <c r="X12" s="13">
        <f>$F$4+$E$8+$F$17+$F$18</f>
        <v>6</v>
      </c>
      <c r="Y12" s="23">
        <f t="shared" si="2"/>
        <v>0</v>
      </c>
      <c r="Z12" s="13">
        <f>$M$4+$N$8+$M$17+$M$18</f>
        <v>68</v>
      </c>
      <c r="AA12" s="13">
        <f>$N$4+$M$8+$N$17+$N$18</f>
        <v>150</v>
      </c>
      <c r="AB12" s="23">
        <f t="shared" si="3"/>
        <v>0.4533333333333333</v>
      </c>
      <c r="AC12" s="13">
        <f>SUM(IF(AND($E$4=2,$F$4=0),1,0))+SUM(IF(AND($F$8=2,$E$8=0),1,0))+SUM(IF(AND($E$17=2,$F$17=0),1,0))+SUM(IF(AND($E$18=2,$F$18=0),1,0))</f>
        <v>0</v>
      </c>
      <c r="AD12" s="13">
        <f>SUM(IF(AND($E$4=2,$F$4=1),1,0))+SUM(IF(AND($F$8=2,$E$8=1),1,0))+SUM(IF(AND($E$17=2,$F$17=1),1,0))+SUM(IF(AND($E$18=2,$F$18=1),1,0))</f>
        <v>0</v>
      </c>
      <c r="AE12" s="13">
        <f>SUM(IF(AND($E$4=1,$F$4=2),1,0))+SUM(IF(AND($F$8=1,$E$8=2),1,0))+SUM(IF(AND($E$17=1,$F$17=2),1,0))+SUM(IF(AND($E$18=1,$F$18=2),1,0))</f>
        <v>0</v>
      </c>
      <c r="AF12" s="13">
        <f>SUM(IF(AND($E$4=0,$F$4=2),1,0))+SUM(IF(AND($F$8=0,$E$8=2),1,0))+SUM(IF(AND($E$17=0,$F$17=2),1,0))+SUM(IF(AND($E$18=0,$F$18=2),1,0))</f>
        <v>3</v>
      </c>
      <c r="AG12" s="5"/>
      <c r="AH12" s="6"/>
      <c r="AI12" s="6"/>
      <c r="AJ12" s="6"/>
      <c r="AK12" s="6"/>
      <c r="AL12" s="6"/>
      <c r="AM12" s="6"/>
      <c r="AN12" s="6"/>
      <c r="AO12" s="6"/>
      <c r="AP12" s="6"/>
    </row>
    <row r="13" spans="1:42" ht="12.75" customHeight="1">
      <c r="A13" s="1" t="s">
        <v>267</v>
      </c>
      <c r="B13" s="1" t="s">
        <v>32</v>
      </c>
      <c r="C13" s="7" t="s">
        <v>41</v>
      </c>
      <c r="D13" s="7" t="s">
        <v>252</v>
      </c>
      <c r="E13" s="1">
        <v>0</v>
      </c>
      <c r="F13" s="1">
        <v>2</v>
      </c>
      <c r="G13" s="1">
        <v>11</v>
      </c>
      <c r="H13" s="1">
        <v>25</v>
      </c>
      <c r="I13" s="1">
        <v>23</v>
      </c>
      <c r="J13" s="1">
        <v>25</v>
      </c>
      <c r="K13" s="1">
        <v>0</v>
      </c>
      <c r="L13" s="1">
        <v>0</v>
      </c>
      <c r="M13" s="1">
        <f>G13+I13+K13</f>
        <v>34</v>
      </c>
      <c r="N13" s="1">
        <f>H13+J13+L13</f>
        <v>50</v>
      </c>
      <c r="O13" s="6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6"/>
      <c r="AH13" s="6"/>
      <c r="AI13" s="6"/>
      <c r="AJ13" s="6"/>
      <c r="AK13" s="6"/>
      <c r="AL13" s="6"/>
      <c r="AM13" s="6"/>
      <c r="AN13" s="6"/>
      <c r="AO13" s="6"/>
      <c r="AP13" s="6"/>
    </row>
    <row r="14" spans="1:42" ht="12.75" customHeight="1">
      <c r="A14" s="1" t="s">
        <v>268</v>
      </c>
      <c r="B14" s="1" t="s">
        <v>32</v>
      </c>
      <c r="C14" s="7" t="s">
        <v>154</v>
      </c>
      <c r="D14" s="7" t="s">
        <v>33</v>
      </c>
      <c r="E14" s="1">
        <v>2</v>
      </c>
      <c r="F14" s="1">
        <v>0</v>
      </c>
      <c r="G14" s="1">
        <v>25</v>
      </c>
      <c r="H14" s="1">
        <v>23</v>
      </c>
      <c r="I14" s="1">
        <v>25</v>
      </c>
      <c r="J14" s="1">
        <v>16</v>
      </c>
      <c r="K14" s="1">
        <v>0</v>
      </c>
      <c r="L14" s="1">
        <v>0</v>
      </c>
      <c r="M14" s="1">
        <f>G14+I14+K14</f>
        <v>50</v>
      </c>
      <c r="N14" s="1">
        <f>H14+J14+L14</f>
        <v>39</v>
      </c>
      <c r="O14" s="6"/>
      <c r="P14" s="3"/>
      <c r="Q14" s="4" t="s">
        <v>29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6"/>
      <c r="AH14" s="6"/>
      <c r="AI14" s="6"/>
      <c r="AJ14" s="6"/>
      <c r="AK14" s="6"/>
      <c r="AL14" s="6"/>
      <c r="AM14" s="6"/>
      <c r="AN14" s="6"/>
      <c r="AO14" s="6"/>
      <c r="AP14" s="6"/>
    </row>
    <row r="15" spans="1:42" ht="12.75" customHeight="1">
      <c r="A15" s="1" t="s">
        <v>269</v>
      </c>
      <c r="B15" s="1" t="s">
        <v>32</v>
      </c>
      <c r="C15" s="7" t="s">
        <v>258</v>
      </c>
      <c r="D15" s="77" t="s">
        <v>251</v>
      </c>
      <c r="E15" s="1">
        <v>1</v>
      </c>
      <c r="F15" s="1">
        <v>2</v>
      </c>
      <c r="G15" s="1">
        <v>16</v>
      </c>
      <c r="H15" s="1">
        <v>25</v>
      </c>
      <c r="I15" s="1">
        <v>25</v>
      </c>
      <c r="J15" s="1">
        <v>22</v>
      </c>
      <c r="K15" s="1">
        <v>7</v>
      </c>
      <c r="L15" s="1">
        <v>15</v>
      </c>
      <c r="M15" s="1">
        <f>G15+I15+K15</f>
        <v>48</v>
      </c>
      <c r="N15" s="1">
        <f>H15+J15+L15</f>
        <v>62</v>
      </c>
      <c r="O15" s="6"/>
      <c r="P15" s="3"/>
      <c r="Q15" s="7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6"/>
      <c r="AH15" s="6"/>
      <c r="AI15" s="6"/>
      <c r="AJ15" s="6"/>
      <c r="AK15" s="6"/>
      <c r="AL15" s="6"/>
      <c r="AM15" s="6"/>
      <c r="AN15" s="6"/>
      <c r="AO15" s="6"/>
      <c r="AP15" s="6"/>
    </row>
    <row r="16" spans="1:42" ht="12.75" customHeight="1">
      <c r="A16" s="1" t="s">
        <v>270</v>
      </c>
      <c r="B16" s="1" t="s">
        <v>32</v>
      </c>
      <c r="C16" s="11" t="s">
        <v>256</v>
      </c>
      <c r="D16" s="7" t="s">
        <v>254</v>
      </c>
      <c r="E16" s="1">
        <v>2</v>
      </c>
      <c r="F16" s="1">
        <v>1</v>
      </c>
      <c r="G16" s="1">
        <v>22</v>
      </c>
      <c r="H16" s="1">
        <v>25</v>
      </c>
      <c r="I16" s="1">
        <v>27</v>
      </c>
      <c r="J16" s="1">
        <v>25</v>
      </c>
      <c r="K16" s="1">
        <v>18</v>
      </c>
      <c r="L16" s="1">
        <v>16</v>
      </c>
      <c r="M16" s="1">
        <f>G16+I16+K16</f>
        <v>67</v>
      </c>
      <c r="N16" s="1">
        <f>H16+J16+L16</f>
        <v>66</v>
      </c>
      <c r="O16" s="6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6"/>
      <c r="AH16" s="6"/>
      <c r="AI16" s="6"/>
      <c r="AJ16" s="6"/>
      <c r="AK16" s="6"/>
      <c r="AL16" s="6"/>
      <c r="AM16" s="6"/>
      <c r="AN16" s="6"/>
      <c r="AO16" s="6"/>
      <c r="AP16" s="6"/>
    </row>
    <row r="17" spans="1:42" ht="12.75" customHeight="1">
      <c r="A17" s="1" t="s">
        <v>271</v>
      </c>
      <c r="B17" s="1" t="s">
        <v>32</v>
      </c>
      <c r="C17" s="7" t="s">
        <v>46</v>
      </c>
      <c r="D17" s="7" t="s">
        <v>260</v>
      </c>
      <c r="E17" s="1">
        <v>0</v>
      </c>
      <c r="F17" s="1">
        <v>2</v>
      </c>
      <c r="G17" s="1">
        <v>16</v>
      </c>
      <c r="H17" s="1">
        <v>25</v>
      </c>
      <c r="I17" s="1">
        <v>13</v>
      </c>
      <c r="J17" s="1">
        <v>25</v>
      </c>
      <c r="K17" s="1">
        <v>0</v>
      </c>
      <c r="L17" s="1">
        <v>0</v>
      </c>
      <c r="M17" s="1">
        <f>G17+I17+K17</f>
        <v>29</v>
      </c>
      <c r="N17" s="1">
        <f>H17+J17+L17</f>
        <v>50</v>
      </c>
      <c r="O17" s="6"/>
      <c r="P17" s="3"/>
      <c r="Q17" s="123" t="s">
        <v>272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6"/>
      <c r="AI17" s="6"/>
      <c r="AJ17" s="6"/>
      <c r="AK17" s="6"/>
      <c r="AL17" s="6"/>
      <c r="AM17" s="6"/>
      <c r="AN17" s="6"/>
      <c r="AO17" s="6"/>
      <c r="AP17" s="6"/>
    </row>
    <row r="18" spans="1:42" ht="12.75" customHeight="1">
      <c r="A18" s="1" t="s">
        <v>273</v>
      </c>
      <c r="B18" s="1" t="s">
        <v>32</v>
      </c>
      <c r="C18" s="7" t="s">
        <v>46</v>
      </c>
      <c r="D18" s="7" t="s">
        <v>33</v>
      </c>
      <c r="E18" s="1">
        <v>0</v>
      </c>
      <c r="F18" s="1">
        <v>2</v>
      </c>
      <c r="G18" s="1">
        <v>21</v>
      </c>
      <c r="H18" s="1">
        <v>25</v>
      </c>
      <c r="I18" s="1">
        <v>18</v>
      </c>
      <c r="J18" s="1">
        <v>25</v>
      </c>
      <c r="K18" s="1">
        <v>0</v>
      </c>
      <c r="L18" s="1">
        <v>0</v>
      </c>
      <c r="M18" s="1">
        <f>G18+I18+K18</f>
        <v>39</v>
      </c>
      <c r="N18" s="1">
        <f>H18+J18+L18</f>
        <v>50</v>
      </c>
      <c r="O18" s="6"/>
      <c r="P18" s="6"/>
      <c r="Q18" s="6"/>
      <c r="R18" s="6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6"/>
      <c r="AH18" s="6"/>
      <c r="AI18" s="6"/>
      <c r="AJ18" s="6"/>
      <c r="AK18" s="6"/>
      <c r="AL18" s="6"/>
      <c r="AM18" s="6"/>
      <c r="AN18" s="6"/>
      <c r="AO18" s="6"/>
      <c r="AP18" s="6"/>
    </row>
    <row r="19" spans="1:42" ht="12.75" customHeight="1">
      <c r="A19" s="1" t="s">
        <v>274</v>
      </c>
      <c r="B19" s="1" t="s">
        <v>32</v>
      </c>
      <c r="C19" s="7" t="s">
        <v>41</v>
      </c>
      <c r="D19" s="7" t="s">
        <v>258</v>
      </c>
      <c r="E19" s="1">
        <v>2</v>
      </c>
      <c r="F19" s="1">
        <v>0</v>
      </c>
      <c r="G19" s="1">
        <v>25</v>
      </c>
      <c r="H19" s="1">
        <v>12</v>
      </c>
      <c r="I19" s="1">
        <v>25</v>
      </c>
      <c r="J19" s="1">
        <v>11</v>
      </c>
      <c r="K19" s="1">
        <v>0</v>
      </c>
      <c r="L19" s="1">
        <v>0</v>
      </c>
      <c r="M19" s="1">
        <f>G19+I19+K19</f>
        <v>50</v>
      </c>
      <c r="N19" s="1">
        <f>H19+J19+L19</f>
        <v>23</v>
      </c>
      <c r="O19" s="6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38"/>
      <c r="AO19" s="38"/>
      <c r="AP19" s="38"/>
    </row>
    <row r="20" spans="1:42" ht="12.75" customHeight="1">
      <c r="A20" s="1" t="s">
        <v>275</v>
      </c>
      <c r="B20" s="1" t="s">
        <v>32</v>
      </c>
      <c r="C20" s="7" t="s">
        <v>154</v>
      </c>
      <c r="D20" s="11" t="s">
        <v>256</v>
      </c>
      <c r="E20" s="1">
        <v>0</v>
      </c>
      <c r="F20" s="1">
        <v>2</v>
      </c>
      <c r="G20" s="1">
        <v>18</v>
      </c>
      <c r="H20" s="1">
        <v>25</v>
      </c>
      <c r="I20" s="1">
        <v>21</v>
      </c>
      <c r="J20" s="1">
        <v>25</v>
      </c>
      <c r="K20" s="1">
        <v>0</v>
      </c>
      <c r="L20" s="1">
        <v>0</v>
      </c>
      <c r="M20" s="1">
        <f>G20+I20+K20</f>
        <v>39</v>
      </c>
      <c r="N20" s="1">
        <f>H20+J20+L20</f>
        <v>50</v>
      </c>
      <c r="O20" s="6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38"/>
      <c r="AO20" s="38"/>
      <c r="AP20" s="38"/>
    </row>
    <row r="21" spans="1:42" ht="12.75" customHeight="1">
      <c r="A21" s="1" t="s">
        <v>276</v>
      </c>
      <c r="B21" s="1" t="s">
        <v>32</v>
      </c>
      <c r="C21" s="7" t="s">
        <v>254</v>
      </c>
      <c r="D21" s="77" t="s">
        <v>251</v>
      </c>
      <c r="E21" s="1">
        <v>0</v>
      </c>
      <c r="F21" s="1">
        <v>2</v>
      </c>
      <c r="G21" s="1">
        <v>21</v>
      </c>
      <c r="H21" s="1">
        <v>25</v>
      </c>
      <c r="I21" s="1">
        <v>27</v>
      </c>
      <c r="J21" s="1">
        <v>29</v>
      </c>
      <c r="K21" s="1">
        <v>0</v>
      </c>
      <c r="L21" s="1">
        <v>0</v>
      </c>
      <c r="M21" s="1">
        <f>G21+I21+K21</f>
        <v>48</v>
      </c>
      <c r="N21" s="1">
        <f>H21+J21+L21</f>
        <v>54</v>
      </c>
      <c r="O21" s="6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38"/>
      <c r="AO21" s="38"/>
      <c r="AP21" s="38"/>
    </row>
    <row r="22" spans="1:42" ht="12.75" customHeight="1">
      <c r="A22" s="1" t="s">
        <v>277</v>
      </c>
      <c r="B22" s="1" t="s">
        <v>32</v>
      </c>
      <c r="C22" s="7" t="s">
        <v>252</v>
      </c>
      <c r="D22" s="7" t="s">
        <v>260</v>
      </c>
      <c r="E22" s="1">
        <v>2</v>
      </c>
      <c r="F22" s="1">
        <v>0</v>
      </c>
      <c r="G22" s="1">
        <v>25</v>
      </c>
      <c r="H22" s="1">
        <v>17</v>
      </c>
      <c r="I22" s="1">
        <v>25</v>
      </c>
      <c r="J22" s="1">
        <v>15</v>
      </c>
      <c r="K22" s="1">
        <v>0</v>
      </c>
      <c r="L22" s="1">
        <v>0</v>
      </c>
      <c r="M22" s="1">
        <f>G22+I22+K22</f>
        <v>50</v>
      </c>
      <c r="N22" s="1">
        <f>H22+J22+L22</f>
        <v>32</v>
      </c>
      <c r="O22" s="6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38"/>
      <c r="AO22" s="38"/>
      <c r="AP22" s="38"/>
    </row>
    <row r="23" spans="1:42" ht="12.75" customHeight="1">
      <c r="A23" s="6"/>
      <c r="B23" s="6"/>
      <c r="C23" s="124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38"/>
      <c r="AO23" s="38"/>
      <c r="AP23" s="38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sheetProtection/>
  <mergeCells count="12">
    <mergeCell ref="AC1:AF1"/>
    <mergeCell ref="Z1:AB1"/>
    <mergeCell ref="C1:D1"/>
    <mergeCell ref="E2:F2"/>
    <mergeCell ref="M2:N2"/>
    <mergeCell ref="G2:H2"/>
    <mergeCell ref="S1:V1"/>
    <mergeCell ref="K2:L2"/>
    <mergeCell ref="I2:J2"/>
    <mergeCell ref="E1:F1"/>
    <mergeCell ref="G1:N1"/>
    <mergeCell ref="W1:Y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4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7.00390625" style="0" customWidth="1"/>
    <col min="2" max="2" width="17.57421875" style="0" customWidth="1"/>
    <col min="3" max="3" width="24.00390625" style="0" customWidth="1"/>
    <col min="4" max="4" width="29.140625" style="0" customWidth="1"/>
    <col min="5" max="18" width="5.7109375" style="0" customWidth="1"/>
    <col min="19" max="23" width="17.28125" style="0" customWidth="1"/>
    <col min="24" max="24" width="18.8515625" style="0" customWidth="1"/>
    <col min="25" max="38" width="17.28125" style="0" customWidth="1"/>
  </cols>
  <sheetData>
    <row r="1" spans="1:38" ht="13.5" customHeight="1">
      <c r="A1" s="1"/>
      <c r="B1" s="1"/>
      <c r="C1" s="159" t="s">
        <v>0</v>
      </c>
      <c r="D1" s="143"/>
      <c r="E1" s="158"/>
      <c r="F1" s="143"/>
      <c r="G1" s="159" t="s">
        <v>1</v>
      </c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3"/>
      <c r="S1" s="6"/>
      <c r="T1" s="125" t="s">
        <v>278</v>
      </c>
      <c r="U1" s="125"/>
      <c r="V1" s="125" t="s">
        <v>279</v>
      </c>
      <c r="W1" s="125"/>
      <c r="X1" s="125" t="s">
        <v>280</v>
      </c>
      <c r="Y1" s="125"/>
      <c r="Z1" s="125" t="s">
        <v>281</v>
      </c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</row>
    <row r="2" spans="1:38" ht="13.5" customHeight="1">
      <c r="A2" s="7" t="s">
        <v>8</v>
      </c>
      <c r="B2" s="7" t="s">
        <v>9</v>
      </c>
      <c r="C2" s="7" t="s">
        <v>10</v>
      </c>
      <c r="D2" s="7" t="s">
        <v>11</v>
      </c>
      <c r="E2" s="159" t="s">
        <v>5</v>
      </c>
      <c r="F2" s="143"/>
      <c r="G2" s="160">
        <v>1</v>
      </c>
      <c r="H2" s="143"/>
      <c r="I2" s="159">
        <v>2</v>
      </c>
      <c r="J2" s="143"/>
      <c r="K2" s="160">
        <v>3</v>
      </c>
      <c r="L2" s="143"/>
      <c r="M2" s="159">
        <v>4</v>
      </c>
      <c r="N2" s="143"/>
      <c r="O2" s="160">
        <v>5</v>
      </c>
      <c r="P2" s="143"/>
      <c r="Q2" s="159" t="s">
        <v>12</v>
      </c>
      <c r="R2" s="143"/>
      <c r="S2" s="6"/>
      <c r="T2" s="6"/>
      <c r="U2" s="6"/>
      <c r="V2" s="125"/>
      <c r="W2" s="125"/>
      <c r="X2" s="125"/>
      <c r="Y2" s="125"/>
      <c r="Z2" s="125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1:38" ht="13.5" customHeight="1">
      <c r="A3" s="33" t="s">
        <v>282</v>
      </c>
      <c r="B3" s="1" t="s">
        <v>283</v>
      </c>
      <c r="C3" s="7" t="s">
        <v>41</v>
      </c>
      <c r="D3" s="7" t="s">
        <v>46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>
        <f>G3+I3+K3+M3+O3</f>
        <v>0</v>
      </c>
      <c r="R3" s="1">
        <f>H3+J3+L3+N3+P3</f>
        <v>0</v>
      </c>
      <c r="S3" s="6"/>
      <c r="T3" s="175" t="s">
        <v>41</v>
      </c>
      <c r="U3" s="127"/>
      <c r="V3" s="125"/>
      <c r="W3" s="125"/>
      <c r="X3" s="125"/>
      <c r="Y3" s="125"/>
      <c r="Z3" s="125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38" ht="12.75" customHeight="1">
      <c r="A4" s="33" t="s">
        <v>284</v>
      </c>
      <c r="B4" s="1" t="s">
        <v>285</v>
      </c>
      <c r="C4" s="7" t="s">
        <v>44</v>
      </c>
      <c r="D4" s="7" t="s">
        <v>35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>
        <f>G4+I4+K4+M4+O4</f>
        <v>0</v>
      </c>
      <c r="R4" s="1">
        <f>H4+J4+L4+N4+P4</f>
        <v>0</v>
      </c>
      <c r="S4" s="6"/>
      <c r="T4" s="174"/>
      <c r="U4" s="12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38" ht="12.75" customHeight="1">
      <c r="A5" s="33" t="s">
        <v>286</v>
      </c>
      <c r="B5" s="1" t="s">
        <v>287</v>
      </c>
      <c r="C5" s="77" t="s">
        <v>288</v>
      </c>
      <c r="D5" s="77" t="s">
        <v>36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>
        <f>G5+I5+K5+M5+O5</f>
        <v>0</v>
      </c>
      <c r="R5" s="1">
        <f>H5+J5+L5+N5+P5</f>
        <v>0</v>
      </c>
      <c r="S5" s="6"/>
      <c r="T5" s="127"/>
      <c r="U5" s="128"/>
      <c r="V5" s="173" t="s">
        <v>289</v>
      </c>
      <c r="W5" s="127"/>
      <c r="X5" s="127"/>
      <c r="Y5" s="127"/>
      <c r="Z5" s="127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1:38" ht="12.75" customHeight="1">
      <c r="A6" s="33" t="s">
        <v>290</v>
      </c>
      <c r="B6" s="1" t="s">
        <v>291</v>
      </c>
      <c r="C6" s="77" t="s">
        <v>28</v>
      </c>
      <c r="D6" s="77" t="s">
        <v>292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>
        <f>G6+I6+K6+M6+O6</f>
        <v>0</v>
      </c>
      <c r="R6" s="129">
        <f>H6+J6+L6+N6+P6</f>
        <v>0</v>
      </c>
      <c r="S6" s="6"/>
      <c r="T6" s="127"/>
      <c r="U6" s="126"/>
      <c r="V6" s="174"/>
      <c r="W6" s="127"/>
      <c r="X6" s="127"/>
      <c r="Y6" s="127" t="s">
        <v>293</v>
      </c>
      <c r="Z6" s="127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 customHeight="1">
      <c r="A7" s="33" t="s">
        <v>294</v>
      </c>
      <c r="B7" s="1" t="s">
        <v>295</v>
      </c>
      <c r="C7" s="7" t="s">
        <v>27</v>
      </c>
      <c r="D7" s="77" t="s">
        <v>39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>
        <f>G7+I7+K7+M7+O7</f>
        <v>0</v>
      </c>
      <c r="R7" s="1">
        <f>H7+J7+L7+N7+P7</f>
        <v>0</v>
      </c>
      <c r="S7" s="6"/>
      <c r="T7" s="175" t="s">
        <v>46</v>
      </c>
      <c r="U7" s="127"/>
      <c r="V7" s="127"/>
      <c r="W7" s="130"/>
      <c r="X7" s="127"/>
      <c r="Y7" s="127"/>
      <c r="Z7" s="127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1:38" ht="12.75" customHeight="1">
      <c r="A8" s="33" t="s">
        <v>296</v>
      </c>
      <c r="B8" s="1" t="s">
        <v>297</v>
      </c>
      <c r="C8" s="77" t="s">
        <v>298</v>
      </c>
      <c r="D8" s="77" t="s">
        <v>42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>
        <f>G8+I8+K8+M8+O8</f>
        <v>0</v>
      </c>
      <c r="R8" s="1">
        <f>H8+J8+L8+N8+P8</f>
        <v>0</v>
      </c>
      <c r="S8" s="6"/>
      <c r="T8" s="174"/>
      <c r="U8" s="127"/>
      <c r="V8" s="127"/>
      <c r="W8" s="130"/>
      <c r="X8" s="175" t="s">
        <v>299</v>
      </c>
      <c r="Y8" s="127"/>
      <c r="Z8" s="127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38" ht="12.75" customHeight="1">
      <c r="A9" s="33" t="s">
        <v>300</v>
      </c>
      <c r="B9" s="1" t="s">
        <v>301</v>
      </c>
      <c r="C9" s="77" t="s">
        <v>299</v>
      </c>
      <c r="D9" s="77" t="s">
        <v>302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f>G9+I9+K9+M9+O9</f>
        <v>0</v>
      </c>
      <c r="R9" s="1">
        <f>H9+J9+L9+N9+P9</f>
        <v>0</v>
      </c>
      <c r="S9" s="6"/>
      <c r="T9" s="6"/>
      <c r="U9" s="6"/>
      <c r="V9" s="127"/>
      <c r="W9" s="131"/>
      <c r="X9" s="174"/>
      <c r="Y9" s="127"/>
      <c r="Z9" s="127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38" ht="12.75" customHeight="1">
      <c r="A10" s="33" t="s">
        <v>303</v>
      </c>
      <c r="B10" s="1" t="s">
        <v>304</v>
      </c>
      <c r="C10" s="77" t="s">
        <v>305</v>
      </c>
      <c r="D10" s="77" t="s">
        <v>306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>
        <f>G10+I10+K10+M10+O10</f>
        <v>0</v>
      </c>
      <c r="R10" s="1">
        <f>H10+J10+L10+N10+P10</f>
        <v>0</v>
      </c>
      <c r="S10" s="6"/>
      <c r="T10" s="6"/>
      <c r="U10" s="6"/>
      <c r="V10" s="127"/>
      <c r="W10" s="130"/>
      <c r="X10" s="127"/>
      <c r="Y10" s="130"/>
      <c r="Z10" s="127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1:38" ht="12.75" customHeight="1">
      <c r="A11" s="33" t="s">
        <v>307</v>
      </c>
      <c r="B11" s="1" t="s">
        <v>308</v>
      </c>
      <c r="C11" s="77" t="s">
        <v>309</v>
      </c>
      <c r="D11" s="77" t="s">
        <v>310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>
        <f>G11+I11+K11+M11+O11</f>
        <v>0</v>
      </c>
      <c r="R11" s="1">
        <f>H11+J11+L11+N11+P11</f>
        <v>0</v>
      </c>
      <c r="S11" s="6"/>
      <c r="T11" s="6"/>
      <c r="U11" s="6"/>
      <c r="V11" s="175" t="s">
        <v>36</v>
      </c>
      <c r="W11" s="127"/>
      <c r="X11" s="127"/>
      <c r="Y11" s="130"/>
      <c r="Z11" s="127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38" ht="12.75" customHeight="1">
      <c r="A12" s="33" t="s">
        <v>311</v>
      </c>
      <c r="B12" s="1" t="s">
        <v>312</v>
      </c>
      <c r="C12" s="77" t="s">
        <v>310</v>
      </c>
      <c r="D12" s="77" t="s">
        <v>309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f>G12+I12+K12+M12+O12</f>
        <v>0</v>
      </c>
      <c r="R12" s="1">
        <f>H12+J12+L12+N12+P12</f>
        <v>0</v>
      </c>
      <c r="S12" s="6"/>
      <c r="T12" s="6"/>
      <c r="U12" s="6"/>
      <c r="V12" s="174"/>
      <c r="W12" s="127"/>
      <c r="X12" s="127"/>
      <c r="Y12" s="130"/>
      <c r="Z12" s="127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1:38" ht="12.75" customHeight="1">
      <c r="A13" s="33" t="s">
        <v>313</v>
      </c>
      <c r="B13" s="1" t="s">
        <v>314</v>
      </c>
      <c r="C13" s="77" t="s">
        <v>309</v>
      </c>
      <c r="D13" s="77" t="s">
        <v>310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f>G13+I13+K13+M13+O13</f>
        <v>0</v>
      </c>
      <c r="R13" s="1">
        <f>H13+J13+L13+N13+P13</f>
        <v>0</v>
      </c>
      <c r="S13" s="6"/>
      <c r="T13" s="127"/>
      <c r="U13" s="127"/>
      <c r="V13" s="127"/>
      <c r="W13" s="127"/>
      <c r="X13" s="127"/>
      <c r="Y13" s="132"/>
      <c r="Z13" s="175" t="s">
        <v>315</v>
      </c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  <row r="14" spans="1:38" ht="12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127"/>
      <c r="U14" s="127"/>
      <c r="V14" s="127"/>
      <c r="W14" s="127"/>
      <c r="X14" s="127"/>
      <c r="Y14" s="131"/>
      <c r="Z14" s="174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</row>
    <row r="15" spans="1:38" ht="12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127"/>
      <c r="U15" s="127"/>
      <c r="V15" s="127"/>
      <c r="W15" s="127"/>
      <c r="X15" s="127"/>
      <c r="Y15" s="130"/>
      <c r="Z15" s="127"/>
      <c r="AA15" s="133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</row>
    <row r="16" spans="1:38" ht="12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127"/>
      <c r="U16" s="127"/>
      <c r="V16" s="175" t="s">
        <v>28</v>
      </c>
      <c r="W16" s="127"/>
      <c r="X16" s="127"/>
      <c r="Y16" s="130"/>
      <c r="Z16" s="127"/>
      <c r="AA16" s="133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</row>
    <row r="17" spans="1:38" ht="12.7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127"/>
      <c r="U17" s="127"/>
      <c r="V17" s="174"/>
      <c r="W17" s="127"/>
      <c r="X17" s="127"/>
      <c r="Y17" s="130"/>
      <c r="Z17" s="127"/>
      <c r="AA17" s="133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</row>
    <row r="18" spans="1:38" ht="12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127"/>
      <c r="U18" s="127"/>
      <c r="V18" s="127"/>
      <c r="W18" s="128"/>
      <c r="X18" s="175" t="s">
        <v>302</v>
      </c>
      <c r="Y18" s="127"/>
      <c r="Z18" s="127"/>
      <c r="AA18" s="133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</row>
    <row r="19" spans="1:38" ht="12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127"/>
      <c r="U19" s="127"/>
      <c r="V19" s="127"/>
      <c r="W19" s="126"/>
      <c r="X19" s="174"/>
      <c r="Y19" s="127"/>
      <c r="Z19" s="127"/>
      <c r="AA19" s="133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</row>
    <row r="20" spans="1:38" ht="12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127"/>
      <c r="U20" s="127"/>
      <c r="V20" s="175" t="s">
        <v>292</v>
      </c>
      <c r="W20" s="127"/>
      <c r="X20" s="127"/>
      <c r="Y20" s="127"/>
      <c r="Z20" s="127"/>
      <c r="AA20" s="133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</row>
    <row r="21" spans="1:38" ht="12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127"/>
      <c r="U21" s="127"/>
      <c r="V21" s="174"/>
      <c r="W21" s="127"/>
      <c r="X21" s="127"/>
      <c r="Y21" s="127"/>
      <c r="Z21" s="127"/>
      <c r="AA21" s="133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</row>
    <row r="22" spans="1:38" ht="12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127"/>
      <c r="U22" s="127"/>
      <c r="V22" s="127"/>
      <c r="W22" s="127"/>
      <c r="X22" s="127"/>
      <c r="Y22" s="127"/>
      <c r="Z22" s="127"/>
      <c r="AA22" s="133"/>
      <c r="AB22" s="175" t="s">
        <v>316</v>
      </c>
      <c r="AC22" s="6"/>
      <c r="AD22" s="6"/>
      <c r="AE22" s="6"/>
      <c r="AF22" s="6"/>
      <c r="AG22" s="6"/>
      <c r="AH22" s="6"/>
      <c r="AI22" s="6"/>
      <c r="AJ22" s="6"/>
      <c r="AK22" s="6"/>
      <c r="AL22" s="6"/>
    </row>
    <row r="23" spans="1:38" ht="12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127"/>
      <c r="U23" s="127"/>
      <c r="V23" s="127"/>
      <c r="W23" s="127"/>
      <c r="X23" s="127"/>
      <c r="Y23" s="127"/>
      <c r="Z23" s="127"/>
      <c r="AA23" s="134"/>
      <c r="AB23" s="174"/>
      <c r="AC23" s="6"/>
      <c r="AD23" s="6"/>
      <c r="AE23" s="6"/>
      <c r="AF23" s="6"/>
      <c r="AG23" s="6"/>
      <c r="AH23" s="6"/>
      <c r="AI23" s="6"/>
      <c r="AJ23" s="6"/>
      <c r="AK23" s="6"/>
      <c r="AL23" s="6"/>
    </row>
    <row r="24" spans="1:38" ht="12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127"/>
      <c r="U24" s="127"/>
      <c r="V24" s="173" t="s">
        <v>317</v>
      </c>
      <c r="W24" s="127"/>
      <c r="X24" s="127"/>
      <c r="Y24" s="127"/>
      <c r="Z24" s="127"/>
      <c r="AA24" s="133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</row>
    <row r="25" spans="1:38" ht="12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127"/>
      <c r="U25" s="127"/>
      <c r="V25" s="174"/>
      <c r="W25" s="127"/>
      <c r="X25" s="127"/>
      <c r="Y25" s="127"/>
      <c r="Z25" s="127"/>
      <c r="AA25" s="133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</row>
    <row r="26" spans="1:38" ht="12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127"/>
      <c r="U26" s="127"/>
      <c r="V26" s="127"/>
      <c r="W26" s="128"/>
      <c r="X26" s="175" t="s">
        <v>305</v>
      </c>
      <c r="Y26" s="127"/>
      <c r="Z26" s="127"/>
      <c r="AA26" s="133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</row>
    <row r="27" spans="1:38" ht="12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127"/>
      <c r="U27" s="127"/>
      <c r="V27" s="127"/>
      <c r="W27" s="126"/>
      <c r="X27" s="174"/>
      <c r="Y27" s="127"/>
      <c r="Z27" s="127"/>
      <c r="AA27" s="133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</row>
    <row r="28" spans="1:38" ht="12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127"/>
      <c r="U28" s="127"/>
      <c r="V28" s="175" t="s">
        <v>39</v>
      </c>
      <c r="W28" s="127"/>
      <c r="X28" s="127"/>
      <c r="Y28" s="130"/>
      <c r="Z28" s="127"/>
      <c r="AA28" s="133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29" spans="1:38" ht="12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127"/>
      <c r="U29" s="127"/>
      <c r="V29" s="174"/>
      <c r="W29" s="127"/>
      <c r="X29" s="127"/>
      <c r="Y29" s="130"/>
      <c r="Z29" s="127"/>
      <c r="AA29" s="133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</row>
    <row r="30" spans="1:38" ht="12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127"/>
      <c r="U30" s="127"/>
      <c r="V30" s="127"/>
      <c r="W30" s="127"/>
      <c r="X30" s="127"/>
      <c r="Y30" s="130"/>
      <c r="Z30" s="127"/>
      <c r="AA30" s="133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</row>
    <row r="31" spans="1:38" ht="12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175" t="s">
        <v>44</v>
      </c>
      <c r="U31" s="127"/>
      <c r="V31" s="127"/>
      <c r="W31" s="127"/>
      <c r="X31" s="127"/>
      <c r="Y31" s="132"/>
      <c r="Z31" s="175" t="s">
        <v>310</v>
      </c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</row>
    <row r="32" spans="1:38" ht="12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174"/>
      <c r="U32" s="127"/>
      <c r="V32" s="127"/>
      <c r="W32" s="127"/>
      <c r="X32" s="127"/>
      <c r="Y32" s="131"/>
      <c r="Z32" s="174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</row>
    <row r="33" spans="1:38" ht="12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127"/>
      <c r="U33" s="128"/>
      <c r="V33" s="173" t="s">
        <v>318</v>
      </c>
      <c r="W33" s="127"/>
      <c r="X33" s="127"/>
      <c r="Y33" s="130"/>
      <c r="Z33" s="127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</row>
    <row r="34" spans="1:38" ht="12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127"/>
      <c r="U34" s="126"/>
      <c r="V34" s="174"/>
      <c r="W34" s="127"/>
      <c r="X34" s="127"/>
      <c r="Y34" s="130"/>
      <c r="Z34" s="127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</row>
    <row r="35" spans="1:38" ht="12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175" t="s">
        <v>35</v>
      </c>
      <c r="U35" s="127"/>
      <c r="V35" s="127"/>
      <c r="W35" s="130"/>
      <c r="X35" s="127"/>
      <c r="Y35" s="130"/>
      <c r="Z35" s="127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</row>
    <row r="36" spans="1:38" ht="12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174"/>
      <c r="U36" s="127"/>
      <c r="V36" s="127"/>
      <c r="W36" s="132"/>
      <c r="X36" s="175" t="s">
        <v>306</v>
      </c>
      <c r="Y36" s="127"/>
      <c r="Z36" s="127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</row>
    <row r="37" spans="1:38" ht="12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127"/>
      <c r="U37" s="127"/>
      <c r="V37" s="127"/>
      <c r="W37" s="131"/>
      <c r="X37" s="174"/>
      <c r="Y37" s="127"/>
      <c r="Z37" s="127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</row>
    <row r="38" spans="1:38" ht="12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127"/>
      <c r="U38" s="127"/>
      <c r="V38" s="127"/>
      <c r="W38" s="130"/>
      <c r="X38" s="127"/>
      <c r="Y38" s="127"/>
      <c r="Z38" s="127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</row>
    <row r="39" spans="1:38" ht="12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127"/>
      <c r="U39" s="127"/>
      <c r="V39" s="175" t="s">
        <v>42</v>
      </c>
      <c r="W39" s="127"/>
      <c r="X39" s="127"/>
      <c r="Y39" s="127"/>
      <c r="Z39" s="127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</row>
    <row r="40" spans="1:38" ht="12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127"/>
      <c r="U40" s="127"/>
      <c r="V40" s="174"/>
      <c r="W40" s="127"/>
      <c r="X40" s="127"/>
      <c r="Y40" s="127"/>
      <c r="Z40" s="127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</row>
    <row r="41" spans="1:38" ht="12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</row>
  </sheetData>
  <sheetProtection/>
  <mergeCells count="29">
    <mergeCell ref="X8:X9"/>
    <mergeCell ref="V39:V40"/>
    <mergeCell ref="V33:V34"/>
    <mergeCell ref="T31:T32"/>
    <mergeCell ref="T35:T36"/>
    <mergeCell ref="X18:X19"/>
    <mergeCell ref="V28:V29"/>
    <mergeCell ref="X26:X27"/>
    <mergeCell ref="X36:X37"/>
    <mergeCell ref="Z31:Z32"/>
    <mergeCell ref="Z13:Z14"/>
    <mergeCell ref="AB22:AB23"/>
    <mergeCell ref="V24:V25"/>
    <mergeCell ref="V11:V12"/>
    <mergeCell ref="V16:V17"/>
    <mergeCell ref="V20:V21"/>
    <mergeCell ref="T3:T4"/>
    <mergeCell ref="V5:V6"/>
    <mergeCell ref="T7:T8"/>
    <mergeCell ref="E2:F2"/>
    <mergeCell ref="C1:D1"/>
    <mergeCell ref="E1:F1"/>
    <mergeCell ref="O2:P2"/>
    <mergeCell ref="Q2:R2"/>
    <mergeCell ref="K2:L2"/>
    <mergeCell ref="M2:N2"/>
    <mergeCell ref="G1:R1"/>
    <mergeCell ref="G2:H2"/>
    <mergeCell ref="I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8"/>
  <sheetViews>
    <sheetView showGridLines="0" zoomScalePageLayoutView="0" workbookViewId="0" topLeftCell="A1">
      <selection activeCell="A1" sqref="A1"/>
    </sheetView>
  </sheetViews>
  <sheetFormatPr defaultColWidth="14.421875" defaultRowHeight="15" customHeight="1"/>
  <cols>
    <col min="1" max="1" width="7.8515625" style="0" customWidth="1"/>
    <col min="2" max="2" width="10.140625" style="0" customWidth="1"/>
    <col min="3" max="3" width="21.00390625" style="0" customWidth="1"/>
    <col min="4" max="4" width="21.7109375" style="0" customWidth="1"/>
    <col min="5" max="18" width="5.7109375" style="0" customWidth="1"/>
    <col min="19" max="19" width="4.140625" style="0" customWidth="1"/>
    <col min="20" max="20" width="1.7109375" style="0" customWidth="1"/>
    <col min="21" max="21" width="21.00390625" style="0" customWidth="1"/>
    <col min="22" max="22" width="7.57421875" style="0" customWidth="1"/>
    <col min="23" max="25" width="5.7109375" style="0" customWidth="1"/>
    <col min="26" max="26" width="4.28125" style="0" customWidth="1"/>
    <col min="27" max="28" width="5.7109375" style="0" customWidth="1"/>
    <col min="29" max="29" width="5.421875" style="0" customWidth="1"/>
    <col min="30" max="31" width="5.7109375" style="0" customWidth="1"/>
    <col min="32" max="32" width="5.421875" style="0" customWidth="1"/>
    <col min="33" max="33" width="4.7109375" style="0" customWidth="1"/>
    <col min="34" max="34" width="4.8515625" style="0" customWidth="1"/>
    <col min="35" max="35" width="4.28125" style="0" customWidth="1"/>
    <col min="36" max="36" width="4.7109375" style="0" customWidth="1"/>
    <col min="37" max="37" width="4.00390625" style="0" customWidth="1"/>
    <col min="38" max="38" width="3.57421875" style="0" customWidth="1"/>
    <col min="39" max="48" width="11.421875" style="0" customWidth="1"/>
  </cols>
  <sheetData>
    <row r="1" spans="1:48" ht="12.75" customHeight="1">
      <c r="A1" s="1" t="s">
        <v>30</v>
      </c>
      <c r="B1" s="1"/>
      <c r="C1" s="159" t="s">
        <v>0</v>
      </c>
      <c r="D1" s="143"/>
      <c r="E1" s="158"/>
      <c r="F1" s="143"/>
      <c r="G1" s="159" t="s">
        <v>1</v>
      </c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3"/>
      <c r="S1" s="3"/>
      <c r="T1" s="4"/>
      <c r="U1" s="4" t="s">
        <v>2</v>
      </c>
      <c r="V1" s="4" t="s">
        <v>3</v>
      </c>
      <c r="W1" s="157" t="s">
        <v>4</v>
      </c>
      <c r="X1" s="142"/>
      <c r="Y1" s="142"/>
      <c r="Z1" s="143"/>
      <c r="AA1" s="156" t="s">
        <v>5</v>
      </c>
      <c r="AB1" s="142"/>
      <c r="AC1" s="143"/>
      <c r="AD1" s="156" t="s">
        <v>6</v>
      </c>
      <c r="AE1" s="142"/>
      <c r="AF1" s="143"/>
      <c r="AG1" s="155" t="s">
        <v>7</v>
      </c>
      <c r="AH1" s="142"/>
      <c r="AI1" s="142"/>
      <c r="AJ1" s="142"/>
      <c r="AK1" s="142"/>
      <c r="AL1" s="143"/>
      <c r="AM1" s="5"/>
      <c r="AN1" s="6"/>
      <c r="AO1" s="6"/>
      <c r="AP1" s="6"/>
      <c r="AQ1" s="6"/>
      <c r="AR1" s="6"/>
      <c r="AS1" s="6"/>
      <c r="AT1" s="6"/>
      <c r="AU1" s="6"/>
      <c r="AV1" s="6"/>
    </row>
    <row r="2" spans="1:48" ht="12.75" customHeight="1">
      <c r="A2" s="7" t="s">
        <v>8</v>
      </c>
      <c r="B2" s="7" t="s">
        <v>9</v>
      </c>
      <c r="C2" s="7" t="s">
        <v>10</v>
      </c>
      <c r="D2" s="7" t="s">
        <v>11</v>
      </c>
      <c r="E2" s="159" t="s">
        <v>5</v>
      </c>
      <c r="F2" s="143"/>
      <c r="G2" s="160">
        <v>1</v>
      </c>
      <c r="H2" s="143"/>
      <c r="I2" s="159">
        <v>2</v>
      </c>
      <c r="J2" s="143"/>
      <c r="K2" s="160">
        <v>3</v>
      </c>
      <c r="L2" s="143"/>
      <c r="M2" s="159">
        <v>4</v>
      </c>
      <c r="N2" s="143"/>
      <c r="O2" s="160">
        <v>5</v>
      </c>
      <c r="P2" s="143"/>
      <c r="Q2" s="159" t="s">
        <v>12</v>
      </c>
      <c r="R2" s="143"/>
      <c r="S2" s="3"/>
      <c r="T2" s="4" t="s">
        <v>13</v>
      </c>
      <c r="U2" s="4" t="s">
        <v>14</v>
      </c>
      <c r="V2" s="4" t="s">
        <v>6</v>
      </c>
      <c r="W2" s="8" t="s">
        <v>12</v>
      </c>
      <c r="X2" s="9" t="s">
        <v>15</v>
      </c>
      <c r="Y2" s="9" t="s">
        <v>16</v>
      </c>
      <c r="Z2" s="4" t="s">
        <v>17</v>
      </c>
      <c r="AA2" s="4" t="s">
        <v>15</v>
      </c>
      <c r="AB2" s="4" t="s">
        <v>16</v>
      </c>
      <c r="AC2" s="21" t="s">
        <v>18</v>
      </c>
      <c r="AD2" s="4" t="s">
        <v>15</v>
      </c>
      <c r="AE2" s="4" t="s">
        <v>16</v>
      </c>
      <c r="AF2" s="21" t="s">
        <v>18</v>
      </c>
      <c r="AG2" s="10" t="s">
        <v>19</v>
      </c>
      <c r="AH2" s="10" t="s">
        <v>20</v>
      </c>
      <c r="AI2" s="10" t="s">
        <v>21</v>
      </c>
      <c r="AJ2" s="10" t="s">
        <v>22</v>
      </c>
      <c r="AK2" s="10" t="s">
        <v>23</v>
      </c>
      <c r="AL2" s="10" t="s">
        <v>24</v>
      </c>
      <c r="AM2" s="5"/>
      <c r="AN2" s="6"/>
      <c r="AO2" s="6"/>
      <c r="AP2" s="6"/>
      <c r="AQ2" s="6"/>
      <c r="AR2" s="6"/>
      <c r="AS2" s="6"/>
      <c r="AT2" s="6"/>
      <c r="AU2" s="6"/>
      <c r="AV2" s="6"/>
    </row>
    <row r="3" spans="1:48" ht="12.75" customHeight="1">
      <c r="A3" s="1" t="s">
        <v>31</v>
      </c>
      <c r="B3" s="1" t="s">
        <v>32</v>
      </c>
      <c r="C3" s="11" t="s">
        <v>27</v>
      </c>
      <c r="D3" s="11" t="s">
        <v>33</v>
      </c>
      <c r="E3" s="1">
        <v>3</v>
      </c>
      <c r="F3" s="1">
        <v>0</v>
      </c>
      <c r="G3" s="1">
        <v>25</v>
      </c>
      <c r="H3" s="1">
        <v>13</v>
      </c>
      <c r="I3" s="1">
        <v>25</v>
      </c>
      <c r="J3" s="1">
        <v>14</v>
      </c>
      <c r="K3" s="1">
        <v>25</v>
      </c>
      <c r="L3" s="1">
        <v>13</v>
      </c>
      <c r="M3" s="1">
        <v>0</v>
      </c>
      <c r="N3" s="1">
        <v>0</v>
      </c>
      <c r="O3" s="1">
        <v>0</v>
      </c>
      <c r="P3" s="1">
        <v>0</v>
      </c>
      <c r="Q3" s="1">
        <f aca="true" t="shared" si="0" ref="Q3:Q26">G3+I3+K3+M3+O3</f>
        <v>75</v>
      </c>
      <c r="R3" s="1">
        <f aca="true" t="shared" si="1" ref="R3:R26">H3+J3+P3+N3+L3</f>
        <v>40</v>
      </c>
      <c r="S3" s="5"/>
      <c r="T3" s="7">
        <v>1</v>
      </c>
      <c r="U3" s="22" t="s">
        <v>27</v>
      </c>
      <c r="V3" s="2">
        <f>AG3*3+AH3*3+AI3*2+AJ3*1</f>
        <v>12</v>
      </c>
      <c r="W3" s="1">
        <f>X3+Y3+Z3</f>
        <v>4</v>
      </c>
      <c r="X3" s="13">
        <f>COUNTIF($E$3,"=3")+COUNTIF($F$13,"=3")+COUNTIF($F$17,"=3")+COUNTIF($E$19,"=3")</f>
        <v>4</v>
      </c>
      <c r="Y3" s="13">
        <f>SUM(IF($E$3&lt;$F$3,1,0))+SUM(IF($F$13&lt;$E$13,1,0))+SUM(IF($F$17&lt;$E$17,1,0))+SUM(IF($E$19&lt;$F$19,1,0))</f>
        <v>0</v>
      </c>
      <c r="Z3" s="14"/>
      <c r="AA3" s="13">
        <f>$E$3+$F$13+$F$17+$E$19</f>
        <v>12</v>
      </c>
      <c r="AB3" s="13">
        <f>$F$3+$E$13+$E$17+$F$19</f>
        <v>0</v>
      </c>
      <c r="AC3" s="23" t="str">
        <f>IF(AB3=0,"MAX",AA3/AB3)</f>
        <v>MAX</v>
      </c>
      <c r="AD3" s="13">
        <f>$Q$3+$R$13+$R$17+$Q$19</f>
        <v>300</v>
      </c>
      <c r="AE3" s="13">
        <f>$R$3+$Q$13+$Q$17+$R$19</f>
        <v>161</v>
      </c>
      <c r="AF3" s="23">
        <f>IF(AE3=0,"MAX",AD3/AE3)</f>
        <v>1.8633540372670807</v>
      </c>
      <c r="AG3" s="13">
        <f>SUM(IF(AND($E$3=3,$F$3=0),1,0))+SUM(IF(AND($F$13=3,$E$13=0),1,0))+SUM(IF(AND($F$17=3,$E$17=0),1,0))+SUM(IF(AND($E$19=3,$F$19=0),1,0))</f>
        <v>4</v>
      </c>
      <c r="AH3" s="13">
        <f>SUM(IF(AND($E$3=3,$F$3=1),1,0))+SUM(IF(AND($F$13=3,$E$13=1),1,0))+SUM(IF(AND($F$17=3,$E$17=1),1,0))+SUM(IF(AND($E$19=3,$F$19=1),1,0))</f>
        <v>0</v>
      </c>
      <c r="AI3" s="13">
        <f>SUM(IF(AND($E$3=3,$F$3=2),1,0))+SUM(IF(AND($F$13=3,$E$13=2),1,0))+SUM(IF(AND($F$17=3,$E$17=2),1,0))+SUM(IF(AND($E$19=3,$F$19=2),1,0))</f>
        <v>0</v>
      </c>
      <c r="AJ3" s="13">
        <f>SUM(IF(AND($E$3=2,$F$3=3),1,0))+SUM(IF(AND($F$13=2,$E$13=3),1,0))+SUM(IF(AND($F$17=2,$E$17=3),1,0))+SUM(IF(AND($E$19=2,$F$19=3),1,0))</f>
        <v>0</v>
      </c>
      <c r="AK3" s="13">
        <f>SUM(IF(AND($E$3=1,$F$3=3),1,0))+SUM(IF(AND($F$13=1,$E$13=3),1,0))+SUM(IF(AND($F$17=1,$E$17=3),1,0))+SUM(IF(AND($E$19=1,$F$19=3),1,0))</f>
        <v>0</v>
      </c>
      <c r="AL3" s="13">
        <f>SUM(IF(AND($E$3=0,$F$3=3),1,0))+SUM(IF(AND($F$13=0,$E$13=3),1,0))+SUM(IF(AND($F$17=0,$E$17=3),1,0))+SUM(IF(AND($E$19=0,$F$19=3),1,0))</f>
        <v>0</v>
      </c>
      <c r="AM3" s="5"/>
      <c r="AN3" s="6"/>
      <c r="AO3" s="6"/>
      <c r="AP3" s="6"/>
      <c r="AQ3" s="6"/>
      <c r="AR3" s="6"/>
      <c r="AS3" s="6"/>
      <c r="AT3" s="6"/>
      <c r="AU3" s="6"/>
      <c r="AV3" s="6"/>
    </row>
    <row r="4" spans="1:48" ht="12.75" customHeight="1">
      <c r="A4" s="1" t="s">
        <v>34</v>
      </c>
      <c r="B4" s="1" t="s">
        <v>32</v>
      </c>
      <c r="C4" s="11" t="s">
        <v>28</v>
      </c>
      <c r="D4" s="11" t="s">
        <v>35</v>
      </c>
      <c r="E4" s="1">
        <v>3</v>
      </c>
      <c r="F4" s="1">
        <v>0</v>
      </c>
      <c r="G4" s="1">
        <v>25</v>
      </c>
      <c r="H4" s="1">
        <v>13</v>
      </c>
      <c r="I4" s="1">
        <v>25</v>
      </c>
      <c r="J4" s="1">
        <v>8</v>
      </c>
      <c r="K4" s="1">
        <v>25</v>
      </c>
      <c r="L4" s="1">
        <v>12</v>
      </c>
      <c r="M4" s="1">
        <v>0</v>
      </c>
      <c r="N4" s="1">
        <v>0</v>
      </c>
      <c r="O4" s="1">
        <v>0</v>
      </c>
      <c r="P4" s="1">
        <v>0</v>
      </c>
      <c r="Q4" s="1">
        <f t="shared" si="0"/>
        <v>75</v>
      </c>
      <c r="R4" s="1">
        <f t="shared" si="1"/>
        <v>33</v>
      </c>
      <c r="S4" s="5"/>
      <c r="T4" s="7">
        <v>2</v>
      </c>
      <c r="U4" s="24" t="s">
        <v>36</v>
      </c>
      <c r="V4" s="2">
        <f>AG4*3+AH4*3+AI4*2+AJ4*1</f>
        <v>7</v>
      </c>
      <c r="W4" s="1">
        <f>X4+Y4+Z4</f>
        <v>4</v>
      </c>
      <c r="X4" s="13">
        <f>COUNTIF($E$5,"=3")+COUNTIF($F$7,"=3")+COUNTIF($E$13,"=3")+COUNTIF($F$21,"=3")</f>
        <v>2</v>
      </c>
      <c r="Y4" s="13">
        <f>SUM(IF($E$5&lt;$F$5,1,0))+SUM(IF($F$7&lt;$E$7,1,0))+SUM(IF($E$13&lt;$F$13,1,0))+SUM(IF($F$21&lt;$E$21,1,0))</f>
        <v>2</v>
      </c>
      <c r="Z4" s="14"/>
      <c r="AA4" s="13">
        <f>$E$5+$F$7+$E$13+$F$21</f>
        <v>8</v>
      </c>
      <c r="AB4" s="13">
        <f>$F$5+$E$7+$F$13+$E$21</f>
        <v>7</v>
      </c>
      <c r="AC4" s="23">
        <f>IF(AB4=0,"MAX",AA4/AB4)</f>
        <v>1.1428571428571428</v>
      </c>
      <c r="AD4" s="13">
        <f>$Q$5+$R$7+$Q$13+$R$21</f>
        <v>316</v>
      </c>
      <c r="AE4" s="13">
        <f>$R$5+$Q$7+$R$13+$Q$21</f>
        <v>321</v>
      </c>
      <c r="AF4" s="23">
        <f>IF(AE4=0,"MAX",AD4/AE4)</f>
        <v>0.9844236760124611</v>
      </c>
      <c r="AG4" s="13">
        <f>SUM(IF(AND($E$5=3,$F$5=1),1,0))+SUM(IF(AND($F$7=3,$E$7=1),1,0))+SUM(IF(AND($E$13=3,$F$13=1),1,0))+SUM(IF(AND($F$21=3,$E$21=1),1,0))</f>
        <v>1</v>
      </c>
      <c r="AH4" s="13">
        <f>SUM(IF(AND($E$5=3,$F$5=0),1,0))+SUM(IF(AND($F$7=3,$E$7=0),1,0))+SUM(IF(AND($E$13=3,$F$13=0),1,0))+SUM(IF(AND($F$21=3,$E$21=0),1,0))</f>
        <v>1</v>
      </c>
      <c r="AI4" s="13">
        <f>SUM(IF(AND($E$5=3,$F$5=2),1,0))+SUM(IF(AND($F$7=3,$E$7=2),1,0))+SUM(IF(AND($E$13=3,$F$13=2),1,0))+SUM(IF(AND($F$21=3,$E$21=2),1,0))</f>
        <v>0</v>
      </c>
      <c r="AJ4" s="13">
        <f>SUM(IF(AND($E$5=2,$F$5=3),1,0))+SUM(IF(AND($F$7=2,$E$7=3),1,0))+SUM(IF(AND($E$13=2,$F$13=3),1,0))+SUM(IF(AND($F$21=2,$E$21=3),1,0))</f>
        <v>1</v>
      </c>
      <c r="AK4" s="13">
        <f>SUM(IF(AND($E$5=1,$F$5=3),1,0))+SUM(IF(AND($F$7=1,$E$7=3),1,0))+SUM(IF(AND($E$13=1,$F$13=3),1,0))+SUM(IF(AND($F$21=1,$E$21=3),1,0))</f>
        <v>0</v>
      </c>
      <c r="AL4" s="13">
        <f>SUM(IF(AND($E$5=0,$F$5=3),1,0))+SUM(IF(AND($F$7=0,$E$7=3),1,0))+SUM(IF(AND($E$13=0,$F$13=3),1,0))+SUM(IF(AND($F$21=0,$E$21=3),1,0))</f>
        <v>1</v>
      </c>
      <c r="AM4" s="5"/>
      <c r="AN4" s="6"/>
      <c r="AO4" s="6"/>
      <c r="AP4" s="6"/>
      <c r="AQ4" s="6"/>
      <c r="AR4" s="6"/>
      <c r="AS4" s="6"/>
      <c r="AT4" s="6"/>
      <c r="AU4" s="6"/>
      <c r="AV4" s="6"/>
    </row>
    <row r="5" spans="1:48" ht="12.75" customHeight="1">
      <c r="A5" s="1" t="s">
        <v>37</v>
      </c>
      <c r="B5" s="1" t="s">
        <v>32</v>
      </c>
      <c r="C5" s="11" t="s">
        <v>36</v>
      </c>
      <c r="D5" s="11" t="s">
        <v>38</v>
      </c>
      <c r="E5" s="1">
        <v>3</v>
      </c>
      <c r="F5" s="1">
        <v>0</v>
      </c>
      <c r="G5" s="1">
        <v>27</v>
      </c>
      <c r="H5" s="1">
        <v>25</v>
      </c>
      <c r="I5" s="1">
        <v>25</v>
      </c>
      <c r="J5" s="1">
        <v>20</v>
      </c>
      <c r="K5" s="1">
        <v>25</v>
      </c>
      <c r="L5" s="1">
        <v>18</v>
      </c>
      <c r="M5" s="1">
        <v>0</v>
      </c>
      <c r="N5" s="1">
        <v>0</v>
      </c>
      <c r="O5" s="1">
        <v>0</v>
      </c>
      <c r="P5" s="1">
        <v>0</v>
      </c>
      <c r="Q5" s="1">
        <f t="shared" si="0"/>
        <v>77</v>
      </c>
      <c r="R5" s="1">
        <f t="shared" si="1"/>
        <v>63</v>
      </c>
      <c r="S5" s="5"/>
      <c r="T5" s="25">
        <v>3</v>
      </c>
      <c r="U5" s="26" t="s">
        <v>39</v>
      </c>
      <c r="V5" s="27">
        <f>AG5*3+AH5*3+AI5*2+AJ5*1</f>
        <v>6</v>
      </c>
      <c r="W5" s="28">
        <f>X5+Y5+Z5</f>
        <v>4</v>
      </c>
      <c r="X5" s="29">
        <f>COUNTIF($F$5,"=3")+COUNTIF($F$9,"=3")+COUNTIF($E$11,"=3")+COUNTIF($E$17,"=3")</f>
        <v>2</v>
      </c>
      <c r="Y5" s="29">
        <f>SUM(IF($F$5&lt;$E$5,1,0))+SUM(IF($F$9&lt;$E$9,1,0))+SUM(IF($E$11&lt;$F$11,1,0))+SUM(IF($E$17&lt;$F$17,1,0))</f>
        <v>2</v>
      </c>
      <c r="Z5" s="30"/>
      <c r="AA5" s="29">
        <f>$F$5+$F$9+$E$11+$E$17</f>
        <v>6</v>
      </c>
      <c r="AB5" s="29">
        <f>$E$5+$E$9+$F$11+$F$17</f>
        <v>7</v>
      </c>
      <c r="AC5" s="31">
        <f>IF(AB5=0,"MAX",AA5/AB5)</f>
        <v>0.8571428571428571</v>
      </c>
      <c r="AD5" s="29">
        <f>$R$5+$R$9+$Q$11+$Q$17</f>
        <v>266</v>
      </c>
      <c r="AE5" s="29">
        <f>$Q$5+$Q$9+$R$11+$R$17</f>
        <v>278</v>
      </c>
      <c r="AF5" s="31">
        <f>IF(AE5=0,"MAX",AD5/AE5)</f>
        <v>0.9568345323741008</v>
      </c>
      <c r="AG5" s="29">
        <f>SUM(IF(AND($F$5=3,$E$5=0),1,0))+SUM(IF(AND($F$9=3,$E$9=0),1,0))+SUM(IF(AND($E$11=3,$F$11=0),1,0))+SUM(IF(AND($E$17=3,$F$17=0),1,0))</f>
        <v>1</v>
      </c>
      <c r="AH5" s="29">
        <f>SUM(IF(AND($F$5=3,$E$5=1),1,0))+SUM(IF(AND($F$9=3,$E$9=1),1,0))+SUM(IF(AND($E$11=3,$F$11=1),1,0))+SUM(IF(AND($E$17=3,$F$17=1),1,0))</f>
        <v>1</v>
      </c>
      <c r="AI5" s="29">
        <f>SUM(IF(AND($F$5=3,$E$5=2),1,0))+SUM(IF(AND($F$9=3,$E$9=2),1,0))+SUM(IF(AND($E$11=3,$F$11=2),1,0))+SUM(IF(AND($E$17=3,$F$17=2),1,0))</f>
        <v>0</v>
      </c>
      <c r="AJ5" s="29">
        <f>SUM(IF(AND($F$5=2,$E$5=3),1,0))+SUM(IF(AND($F$9=2,$E$9=3),1,0))+SUM(IF(AND($E$11=2,$F$11=3),1,0))+SUM(IF(AND($E$17=2,$F$17=3),1,0))</f>
        <v>0</v>
      </c>
      <c r="AK5" s="29">
        <f>SUM(IF(AND($F$5=1,$E$5=3),1,0))+SUM(IF(AND($F$9=1,$E$9=3),1,0))+SUM(IF(AND($E$11=1,$F$11=3),1,0))+SUM(IF(AND($E$17=1,$F$17=3),1,0))</f>
        <v>0</v>
      </c>
      <c r="AL5" s="29">
        <f>SUM(IF(AND($F$5=0,$E$5=3),1,0))+SUM(IF(AND($F$9=0,$E$9=3),1,0))+SUM(IF(AND($E$11=0,$F$11=3),1,0))+SUM(IF(AND($E$17=0,$F$17=3),1,0))</f>
        <v>2</v>
      </c>
      <c r="AM5" s="5"/>
      <c r="AN5" s="6"/>
      <c r="AO5" s="6"/>
      <c r="AP5" s="6"/>
      <c r="AQ5" s="6"/>
      <c r="AR5" s="6"/>
      <c r="AS5" s="6"/>
      <c r="AT5" s="6"/>
      <c r="AU5" s="6"/>
      <c r="AV5" s="6"/>
    </row>
    <row r="6" spans="1:48" ht="12.75" customHeight="1">
      <c r="A6" s="1" t="s">
        <v>40</v>
      </c>
      <c r="B6" s="1" t="s">
        <v>32</v>
      </c>
      <c r="C6" s="11" t="s">
        <v>41</v>
      </c>
      <c r="D6" s="11" t="s">
        <v>42</v>
      </c>
      <c r="E6" s="1">
        <v>3</v>
      </c>
      <c r="F6" s="1">
        <v>1</v>
      </c>
      <c r="G6" s="1">
        <v>25</v>
      </c>
      <c r="H6" s="1">
        <v>20</v>
      </c>
      <c r="I6" s="1">
        <v>25</v>
      </c>
      <c r="J6" s="1">
        <v>15</v>
      </c>
      <c r="K6" s="1">
        <v>24</v>
      </c>
      <c r="L6" s="1">
        <v>26</v>
      </c>
      <c r="M6" s="1">
        <v>25</v>
      </c>
      <c r="N6" s="1">
        <v>16</v>
      </c>
      <c r="O6" s="1">
        <v>0</v>
      </c>
      <c r="P6" s="1">
        <v>0</v>
      </c>
      <c r="Q6" s="1">
        <f t="shared" si="0"/>
        <v>99</v>
      </c>
      <c r="R6" s="1">
        <f t="shared" si="1"/>
        <v>77</v>
      </c>
      <c r="S6" s="5"/>
      <c r="T6" s="7">
        <v>4</v>
      </c>
      <c r="U6" s="11" t="s">
        <v>33</v>
      </c>
      <c r="V6" s="7">
        <f>AG6*3+AH6*3+AI6*2+AJ6*1</f>
        <v>5</v>
      </c>
      <c r="W6" s="1">
        <f>X6+Y6+Z6</f>
        <v>4</v>
      </c>
      <c r="X6" s="13">
        <f>COUNTIF($F$3,"=3")+COUNTIF($E$9,"=3")+COUNTIF($F$15,"=3")+COUNTIF($E$21,"=3")</f>
        <v>2</v>
      </c>
      <c r="Y6" s="13">
        <f>SUM(IF($F$3&lt;$E$3,1,0))+SUM(IF($E$9&lt;$F$9,1,0))+SUM(IF($F$15&lt;$E$15,1,0))+SUM(IF($E$21&lt;$F$21,1,0))</f>
        <v>2</v>
      </c>
      <c r="Z6" s="1"/>
      <c r="AA6" s="13">
        <f>$F$3+$E$9+$F$15+$E$21</f>
        <v>6</v>
      </c>
      <c r="AB6" s="13">
        <f>$E$3+$F$9+$E$15+$F$21</f>
        <v>8</v>
      </c>
      <c r="AC6" s="23">
        <f>IF(AB6=0,"MAX",AA6/AB6)</f>
        <v>0.75</v>
      </c>
      <c r="AD6" s="13">
        <f>$R$3+$Q$9+$R$15+$Q$21</f>
        <v>270</v>
      </c>
      <c r="AE6" s="13">
        <f>$Q$3+$R$9+$Q$15+$R$21</f>
        <v>309</v>
      </c>
      <c r="AF6" s="23">
        <f>IF(AE6=0,"MAX",AD6/AE6)</f>
        <v>0.8737864077669902</v>
      </c>
      <c r="AG6" s="13">
        <f>SUM(IF(AND($F$3=3,$E$3=0),1,0))+SUM(IF(AND($E$9=3,$F$9=0),1,0))+SUM(IF(AND($F$15=3,$E$15=0),1,0))+SUM(IF(AND($E$21=3,$F$21=0),1,0))</f>
        <v>1</v>
      </c>
      <c r="AH6" s="13">
        <f>SUM(IF(AND($F$3=3,$E$3=1),1,0))+SUM(IF(AND($E$9=3,$F$9=1),1,0))+SUM(IF(AND($F$15=3,$E$15=1),1,0))+SUM(IF(AND($E$21=3,$F$21=1),1,0))</f>
        <v>0</v>
      </c>
      <c r="AI6" s="13">
        <f>SUM(IF(AND($F$3=3,$E$3=2),1,0))+SUM(IF(AND($E$9=3,$F$9=2),1,0))+SUM(IF(AND($F$15=3,$E$15=2),1,0))+SUM(IF(AND($E$21=3,$F$21=2),1,0))</f>
        <v>1</v>
      </c>
      <c r="AJ6" s="13">
        <f>SUM(IF(AND($F$3=2,$E$3=3),1,0))+SUM(IF(AND($E$9=2,$F$9=3),1,0))+SUM(IF(AND($F$15=2,$E$15=3),1,0))+SUM(IF(AND($E$21=2,$F$21=3),1,0))</f>
        <v>0</v>
      </c>
      <c r="AK6" s="13">
        <f>SUM(IF(AND($F$3=1,$E$3=3),1,0))+SUM(IF(AND($E$9=1,$F$9=3),1,0))+SUM(IF(AND($F$15=1,$E$15=3),1,0))+SUM(IF(AND($E$21=1,$F$21=3),1,0))</f>
        <v>0</v>
      </c>
      <c r="AL6" s="13">
        <f>SUM(IF(AND($F$3=0,$E$3=3),1,0))+SUM(IF(AND($E$9=0,$F$9=3),1,0))+SUM(IF(AND($F$15=0,$E$15=3),1,0))+SUM(IF(AND($E$21=0,$F$21=3),1,0))</f>
        <v>2</v>
      </c>
      <c r="AM6" s="5"/>
      <c r="AN6" s="6"/>
      <c r="AO6" s="6"/>
      <c r="AP6" s="6"/>
      <c r="AQ6" s="6"/>
      <c r="AR6" s="6"/>
      <c r="AS6" s="6"/>
      <c r="AT6" s="6"/>
      <c r="AU6" s="6"/>
      <c r="AV6" s="6"/>
    </row>
    <row r="7" spans="1:48" ht="12.75" customHeight="1">
      <c r="A7" s="1" t="s">
        <v>43</v>
      </c>
      <c r="B7" s="1" t="s">
        <v>32</v>
      </c>
      <c r="C7" s="11" t="s">
        <v>44</v>
      </c>
      <c r="D7" s="11" t="s">
        <v>36</v>
      </c>
      <c r="E7" s="1">
        <v>1</v>
      </c>
      <c r="F7" s="1">
        <v>3</v>
      </c>
      <c r="G7" s="1">
        <v>25</v>
      </c>
      <c r="H7" s="1">
        <v>21</v>
      </c>
      <c r="I7" s="1">
        <v>19</v>
      </c>
      <c r="J7" s="1">
        <v>25</v>
      </c>
      <c r="K7" s="1">
        <v>21</v>
      </c>
      <c r="L7" s="1">
        <v>25</v>
      </c>
      <c r="M7" s="1">
        <v>11</v>
      </c>
      <c r="N7" s="1">
        <v>25</v>
      </c>
      <c r="O7" s="1">
        <v>0</v>
      </c>
      <c r="P7" s="1">
        <v>0</v>
      </c>
      <c r="Q7" s="1">
        <f t="shared" si="0"/>
        <v>76</v>
      </c>
      <c r="R7" s="1">
        <f t="shared" si="1"/>
        <v>96</v>
      </c>
      <c r="S7" s="5"/>
      <c r="T7" s="7">
        <v>5</v>
      </c>
      <c r="U7" s="32" t="s">
        <v>44</v>
      </c>
      <c r="V7" s="7">
        <f>AG7*3+AH7*3+AI7*2+AJ7*1</f>
        <v>0</v>
      </c>
      <c r="W7" s="1">
        <f>X7+Y7+Z7</f>
        <v>4</v>
      </c>
      <c r="X7" s="13">
        <f>COUNTIF($E$7,"=3")+COUNTIF($F$11,"=3")+COUNTIF($E$15,"=3")+COUNTIF($F$19,"=3")</f>
        <v>0</v>
      </c>
      <c r="Y7" s="13">
        <f>SUM(IF($E$7&lt;$F$7,1,0))+SUM(IF($F$11&lt;$E$11,1,0))+SUM(IF($E$15&lt;$F$15,1,0))+SUM(IF($F$19&lt;$E$19,1,0))</f>
        <v>4</v>
      </c>
      <c r="Z7" s="33"/>
      <c r="AA7" s="13">
        <f>$E$7+$F$11+$E$15+$F$19</f>
        <v>2</v>
      </c>
      <c r="AB7" s="13">
        <f>$F$7+$E$11+$F$15+$E$19</f>
        <v>12</v>
      </c>
      <c r="AC7" s="23">
        <f>IF(AB7=0,"MAX",AA7/AB7)</f>
        <v>0.16666666666666666</v>
      </c>
      <c r="AD7" s="13">
        <f>$Q$7+$R$11+$Q$15+$R$19</f>
        <v>257</v>
      </c>
      <c r="AE7" s="13">
        <f>$R$7+$Q$11+$R$15+$Q$19</f>
        <v>340</v>
      </c>
      <c r="AF7" s="23">
        <f>IF(AE7=0,"MAX",AD7/AE7)</f>
        <v>0.7558823529411764</v>
      </c>
      <c r="AG7" s="13">
        <f>SUM(IF(AND($E$7=3,$F$7=0),1,0))+SUM(IF(AND($F$11=3,$E$11=0),1,0))+SUM(IF(AND($E$15=3,$F$15=0),1,0))+SUM(IF(AND($F$19=3,$E$19=0),1,0))</f>
        <v>0</v>
      </c>
      <c r="AH7" s="13">
        <f>SUM(IF(AND($E$7=3,$F$7=1),1,0))+SUM(IF(AND($F$11=3,$E$11=1),1,0))+SUM(IF(AND($E$15=3,$F$15=1),1,0))+SUM(IF(AND($F$19=3,$E$19=1),1,0))</f>
        <v>0</v>
      </c>
      <c r="AI7" s="13">
        <f>SUM(IF(AND($E$7=3,$F$7=2),1,0))+SUM(IF(AND($F$11=3,$E$11=2),1,0))+SUM(IF(AND($E$15=3,$F$15=2),1,0))+SUM(IF(AND($F$19=3,$E$19=2),1,0))</f>
        <v>0</v>
      </c>
      <c r="AJ7" s="13">
        <f>SUM(IF(AND($E$7=2,$F$7=3),1,0))+SUM(IF(AND($F$11=2,$E$11=3),1,0))+SUM(IF(AND($E$15=2,$F$15=3),1,0))+SUM(IF(AND($F$19=2,$E$19=3),1,0))</f>
        <v>0</v>
      </c>
      <c r="AK7" s="13">
        <f>SUM(IF(AND($E$7=1,$F$7=3),1,0))+SUM(IF(AND($F$11=1,$E$11=3),1,0))+SUM(IF(AND($E$15=1,$F$15=3),1,0))+SUM(IF(AND($F$19=1,$E$19=3),1,0))</f>
        <v>2</v>
      </c>
      <c r="AL7" s="13">
        <f>SUM(IF(AND($E$7=0,$F$7=3),1,0))+SUM(IF(AND($F$11=0,$E$11=3),1,0))+SUM(IF(AND($E$15=0,$F$15=3),1,0))+SUM(IF(AND($F$19=0,$E$19=3),1,0))</f>
        <v>2</v>
      </c>
      <c r="AM7" s="5"/>
      <c r="AN7" s="6"/>
      <c r="AO7" s="6"/>
      <c r="AP7" s="6"/>
      <c r="AQ7" s="6"/>
      <c r="AR7" s="6"/>
      <c r="AS7" s="6"/>
      <c r="AT7" s="6"/>
      <c r="AU7" s="6"/>
      <c r="AV7" s="6"/>
    </row>
    <row r="8" spans="1:48" ht="12.75" customHeight="1">
      <c r="A8" s="1" t="s">
        <v>45</v>
      </c>
      <c r="B8" s="1" t="s">
        <v>32</v>
      </c>
      <c r="C8" s="11" t="s">
        <v>46</v>
      </c>
      <c r="D8" s="11" t="s">
        <v>41</v>
      </c>
      <c r="E8" s="1">
        <v>0</v>
      </c>
      <c r="F8" s="1">
        <v>3</v>
      </c>
      <c r="G8" s="1">
        <v>15</v>
      </c>
      <c r="H8" s="1">
        <v>25</v>
      </c>
      <c r="I8" s="1">
        <v>19</v>
      </c>
      <c r="J8" s="1">
        <v>25</v>
      </c>
      <c r="K8" s="1">
        <v>18</v>
      </c>
      <c r="L8" s="1">
        <v>25</v>
      </c>
      <c r="M8" s="1">
        <v>0</v>
      </c>
      <c r="N8" s="1">
        <v>0</v>
      </c>
      <c r="O8" s="1">
        <v>0</v>
      </c>
      <c r="P8" s="1">
        <v>0</v>
      </c>
      <c r="Q8" s="1">
        <f t="shared" si="0"/>
        <v>52</v>
      </c>
      <c r="R8" s="1">
        <f t="shared" si="1"/>
        <v>75</v>
      </c>
      <c r="S8" s="5"/>
      <c r="T8" s="34"/>
      <c r="U8" s="34"/>
      <c r="V8" s="34"/>
      <c r="W8" s="34"/>
      <c r="X8" s="3"/>
      <c r="Y8" s="3"/>
      <c r="Z8" s="3"/>
      <c r="AA8" s="3"/>
      <c r="AB8" s="3"/>
      <c r="AC8" s="35"/>
      <c r="AD8" s="3"/>
      <c r="AE8" s="3"/>
      <c r="AF8" s="35"/>
      <c r="AG8" s="3"/>
      <c r="AH8" s="3"/>
      <c r="AI8" s="3"/>
      <c r="AJ8" s="3"/>
      <c r="AK8" s="3"/>
      <c r="AL8" s="3"/>
      <c r="AM8" s="5"/>
      <c r="AN8" s="6"/>
      <c r="AO8" s="6"/>
      <c r="AP8" s="6"/>
      <c r="AQ8" s="6"/>
      <c r="AR8" s="6"/>
      <c r="AS8" s="6"/>
      <c r="AT8" s="6"/>
      <c r="AU8" s="6"/>
      <c r="AV8" s="6"/>
    </row>
    <row r="9" spans="1:48" ht="12.75" customHeight="1">
      <c r="A9" s="1" t="s">
        <v>47</v>
      </c>
      <c r="B9" s="1" t="s">
        <v>32</v>
      </c>
      <c r="C9" s="26" t="s">
        <v>33</v>
      </c>
      <c r="D9" s="11" t="s">
        <v>38</v>
      </c>
      <c r="E9" s="1">
        <v>0</v>
      </c>
      <c r="F9" s="1">
        <v>3</v>
      </c>
      <c r="G9" s="1">
        <v>10</v>
      </c>
      <c r="H9" s="1">
        <v>25</v>
      </c>
      <c r="I9" s="1">
        <v>20</v>
      </c>
      <c r="J9" s="1">
        <v>25</v>
      </c>
      <c r="K9" s="1">
        <v>18</v>
      </c>
      <c r="L9" s="1">
        <v>25</v>
      </c>
      <c r="M9" s="1">
        <v>0</v>
      </c>
      <c r="N9" s="1">
        <v>0</v>
      </c>
      <c r="O9" s="1">
        <v>0</v>
      </c>
      <c r="P9" s="1">
        <v>0</v>
      </c>
      <c r="Q9" s="1">
        <f t="shared" si="0"/>
        <v>48</v>
      </c>
      <c r="R9" s="1">
        <f t="shared" si="1"/>
        <v>75</v>
      </c>
      <c r="S9" s="5"/>
      <c r="T9" s="34"/>
      <c r="U9" s="34"/>
      <c r="V9" s="34"/>
      <c r="W9" s="34"/>
      <c r="X9" s="3"/>
      <c r="Y9" s="3"/>
      <c r="Z9" s="3"/>
      <c r="AA9" s="3"/>
      <c r="AB9" s="3"/>
      <c r="AC9" s="35"/>
      <c r="AD9" s="3"/>
      <c r="AE9" s="3"/>
      <c r="AF9" s="35"/>
      <c r="AG9" s="3"/>
      <c r="AH9" s="3"/>
      <c r="AI9" s="3"/>
      <c r="AJ9" s="3"/>
      <c r="AK9" s="3"/>
      <c r="AL9" s="3"/>
      <c r="AM9" s="5"/>
      <c r="AN9" s="6"/>
      <c r="AO9" s="6"/>
      <c r="AP9" s="6"/>
      <c r="AQ9" s="6"/>
      <c r="AR9" s="6"/>
      <c r="AS9" s="6"/>
      <c r="AT9" s="6"/>
      <c r="AU9" s="6"/>
      <c r="AV9" s="6"/>
    </row>
    <row r="10" spans="1:48" ht="12.75" customHeight="1">
      <c r="A10" s="1" t="s">
        <v>48</v>
      </c>
      <c r="B10" s="1" t="s">
        <v>32</v>
      </c>
      <c r="C10" s="26" t="s">
        <v>35</v>
      </c>
      <c r="D10" s="11" t="s">
        <v>42</v>
      </c>
      <c r="E10" s="1">
        <v>2</v>
      </c>
      <c r="F10" s="1">
        <v>3</v>
      </c>
      <c r="G10" s="1">
        <v>25</v>
      </c>
      <c r="H10" s="1">
        <v>18</v>
      </c>
      <c r="I10" s="1">
        <v>21</v>
      </c>
      <c r="J10" s="1">
        <v>25</v>
      </c>
      <c r="K10" s="1">
        <v>25</v>
      </c>
      <c r="L10" s="1">
        <v>21</v>
      </c>
      <c r="M10" s="1">
        <v>20</v>
      </c>
      <c r="N10" s="1">
        <v>25</v>
      </c>
      <c r="O10" s="1">
        <v>13</v>
      </c>
      <c r="P10" s="1">
        <v>15</v>
      </c>
      <c r="Q10" s="1">
        <f t="shared" si="0"/>
        <v>104</v>
      </c>
      <c r="R10" s="1">
        <f t="shared" si="1"/>
        <v>104</v>
      </c>
      <c r="S10" s="5"/>
      <c r="T10" s="4"/>
      <c r="U10" s="4" t="s">
        <v>49</v>
      </c>
      <c r="V10" s="4" t="s">
        <v>3</v>
      </c>
      <c r="W10" s="157" t="s">
        <v>4</v>
      </c>
      <c r="X10" s="142"/>
      <c r="Y10" s="142"/>
      <c r="Z10" s="143"/>
      <c r="AA10" s="156" t="s">
        <v>5</v>
      </c>
      <c r="AB10" s="142"/>
      <c r="AC10" s="143"/>
      <c r="AD10" s="156" t="s">
        <v>6</v>
      </c>
      <c r="AE10" s="142"/>
      <c r="AF10" s="143"/>
      <c r="AG10" s="155" t="s">
        <v>7</v>
      </c>
      <c r="AH10" s="142"/>
      <c r="AI10" s="142"/>
      <c r="AJ10" s="142"/>
      <c r="AK10" s="142"/>
      <c r="AL10" s="143"/>
      <c r="AM10" s="5"/>
      <c r="AN10" s="6"/>
      <c r="AO10" s="6"/>
      <c r="AP10" s="6"/>
      <c r="AQ10" s="6"/>
      <c r="AR10" s="6"/>
      <c r="AS10" s="6"/>
      <c r="AT10" s="6"/>
      <c r="AU10" s="6"/>
      <c r="AV10" s="6"/>
    </row>
    <row r="11" spans="1:48" ht="12.75" customHeight="1">
      <c r="A11" s="1" t="s">
        <v>51</v>
      </c>
      <c r="B11" s="1" t="s">
        <v>32</v>
      </c>
      <c r="C11" s="11" t="s">
        <v>38</v>
      </c>
      <c r="D11" s="11" t="s">
        <v>44</v>
      </c>
      <c r="E11" s="1">
        <v>3</v>
      </c>
      <c r="F11" s="1">
        <v>1</v>
      </c>
      <c r="G11" s="1">
        <v>25</v>
      </c>
      <c r="H11" s="1">
        <v>16</v>
      </c>
      <c r="I11" s="1">
        <v>19</v>
      </c>
      <c r="J11" s="1">
        <v>25</v>
      </c>
      <c r="K11" s="1">
        <v>25</v>
      </c>
      <c r="L11" s="1">
        <v>15</v>
      </c>
      <c r="M11" s="1">
        <v>25</v>
      </c>
      <c r="N11" s="1">
        <v>22</v>
      </c>
      <c r="O11" s="1">
        <v>0</v>
      </c>
      <c r="P11" s="1">
        <v>0</v>
      </c>
      <c r="Q11" s="1">
        <f t="shared" si="0"/>
        <v>94</v>
      </c>
      <c r="R11" s="1">
        <f t="shared" si="1"/>
        <v>78</v>
      </c>
      <c r="S11" s="5"/>
      <c r="T11" s="4" t="s">
        <v>13</v>
      </c>
      <c r="U11" s="4" t="s">
        <v>14</v>
      </c>
      <c r="V11" s="4" t="s">
        <v>6</v>
      </c>
      <c r="W11" s="8" t="s">
        <v>12</v>
      </c>
      <c r="X11" s="9" t="s">
        <v>15</v>
      </c>
      <c r="Y11" s="9" t="s">
        <v>16</v>
      </c>
      <c r="Z11" s="4" t="s">
        <v>17</v>
      </c>
      <c r="AA11" s="4" t="s">
        <v>15</v>
      </c>
      <c r="AB11" s="4" t="s">
        <v>16</v>
      </c>
      <c r="AC11" s="21" t="s">
        <v>18</v>
      </c>
      <c r="AD11" s="4" t="s">
        <v>15</v>
      </c>
      <c r="AE11" s="4" t="s">
        <v>16</v>
      </c>
      <c r="AF11" s="21" t="s">
        <v>18</v>
      </c>
      <c r="AG11" s="10" t="s">
        <v>19</v>
      </c>
      <c r="AH11" s="10" t="s">
        <v>20</v>
      </c>
      <c r="AI11" s="10" t="s">
        <v>21</v>
      </c>
      <c r="AJ11" s="10" t="s">
        <v>22</v>
      </c>
      <c r="AK11" s="10" t="s">
        <v>23</v>
      </c>
      <c r="AL11" s="10" t="s">
        <v>24</v>
      </c>
      <c r="AM11" s="5"/>
      <c r="AN11" s="6"/>
      <c r="AO11" s="6"/>
      <c r="AP11" s="6"/>
      <c r="AQ11" s="6"/>
      <c r="AR11" s="6"/>
      <c r="AS11" s="6"/>
      <c r="AT11" s="6"/>
      <c r="AU11" s="6"/>
      <c r="AV11" s="6"/>
    </row>
    <row r="12" spans="1:48" ht="12.75" customHeight="1">
      <c r="A12" s="1" t="s">
        <v>52</v>
      </c>
      <c r="B12" s="1" t="s">
        <v>32</v>
      </c>
      <c r="C12" s="11" t="s">
        <v>42</v>
      </c>
      <c r="D12" s="11" t="s">
        <v>46</v>
      </c>
      <c r="E12" s="1">
        <v>0</v>
      </c>
      <c r="F12" s="1">
        <v>3</v>
      </c>
      <c r="G12" s="1">
        <v>13</v>
      </c>
      <c r="H12" s="1">
        <v>25</v>
      </c>
      <c r="I12" s="1">
        <v>20</v>
      </c>
      <c r="J12" s="1">
        <v>25</v>
      </c>
      <c r="K12" s="1">
        <v>15</v>
      </c>
      <c r="L12" s="1">
        <v>25</v>
      </c>
      <c r="M12" s="1">
        <v>0</v>
      </c>
      <c r="N12" s="1">
        <v>0</v>
      </c>
      <c r="O12" s="1">
        <v>0</v>
      </c>
      <c r="P12" s="1">
        <v>0</v>
      </c>
      <c r="Q12" s="1">
        <f t="shared" si="0"/>
        <v>48</v>
      </c>
      <c r="R12" s="1">
        <f t="shared" si="1"/>
        <v>75</v>
      </c>
      <c r="S12" s="5"/>
      <c r="T12" s="7">
        <v>1</v>
      </c>
      <c r="U12" s="24" t="s">
        <v>28</v>
      </c>
      <c r="V12" s="2">
        <f>AG12*3+AH12*3+AI12*2+AJ12*1</f>
        <v>12</v>
      </c>
      <c r="W12" s="1">
        <f>X12+Y12+Z12</f>
        <v>4</v>
      </c>
      <c r="X12" s="13">
        <f>COUNTIF($E$4,"=3")+COUNTIF($F$14,"=3")+COUNTIF($F$18,"=3")+COUNTIF($E$20,"=3")</f>
        <v>4</v>
      </c>
      <c r="Y12" s="13">
        <f>SUM(IF($E$4&lt;$F$4,1,0))+SUM(IF($F$14&lt;$E$14,1,0))+SUM(IF($F$18&lt;$E$18,1,0))+SUM(IF($E$20&lt;$F$20,1,0))</f>
        <v>0</v>
      </c>
      <c r="Z12" s="14"/>
      <c r="AA12" s="13">
        <f>$E$4+$F$14+$F$18+$E$20</f>
        <v>12</v>
      </c>
      <c r="AB12" s="13">
        <f>$F$4+$E$14+$E$18+$F$20</f>
        <v>0</v>
      </c>
      <c r="AC12" s="23" t="str">
        <f>IF(AB12=0,"MAX",AA12/AB12)</f>
        <v>MAX</v>
      </c>
      <c r="AD12" s="13">
        <f>$Q$4+$R$14+$R$18+$Q$20</f>
        <v>301</v>
      </c>
      <c r="AE12" s="13">
        <f>$R$4+$Q$13+$Q$17+$R$20</f>
        <v>159</v>
      </c>
      <c r="AF12" s="23">
        <f>IF(AE12=0,"MAX",AD12/AE12)</f>
        <v>1.8930817610062893</v>
      </c>
      <c r="AG12" s="13">
        <f>SUM(IF(AND($E$4=3,$F$4=0),1,0))+SUM(IF(AND($F$14=3,$E$14=0),1,0))+SUM(IF(AND($F$18=3,$E$18=0),1,0))+SUM(IF(AND($E$20=3,$F$20=0),1,0))</f>
        <v>4</v>
      </c>
      <c r="AH12" s="13">
        <f>SUM(IF(AND($E$4=3,$F$4=1),1,0))+SUM(IF(AND($F$14=3,$E$14=1),1,0))+SUM(IF(AND($F$18=3,$E$18=1),1,0))+SUM(IF(AND($E$20=3,$F$20=1),1,0))</f>
        <v>0</v>
      </c>
      <c r="AI12" s="13">
        <f>SUM(IF(AND($E$4=3,$F$4=2),1,0))+SUM(IF(AND($F$14=3,$E$14=2),1,0))+SUM(IF(AND($F$18=3,$E$18=2),1,0))+SUM(IF(AND($E$20=3,$F$20=2),1,0))</f>
        <v>0</v>
      </c>
      <c r="AJ12" s="13">
        <f>SUM(IF(AND($E$4=2,$F$4=3),1,0))+SUM(IF(AND($F$14=2,$E$14=3),1,0))+SUM(IF(AND($F$18=2,$E$18=3),1,0))+SUM(IF(AND($E$20=2,$F$20=3),1,0))</f>
        <v>0</v>
      </c>
      <c r="AK12" s="13">
        <f>SUM(IF(AND($E$4=1,$F$4=3),1,0))+SUM(IF(AND($F$14=1,$E$14=3),1,0))+SUM(IF(AND($F$18=1,$E$18=3),1,0))+SUM(IF(AND($E$20=1,$F$20=3),1,0))</f>
        <v>0</v>
      </c>
      <c r="AL12" s="13">
        <f>SUM(IF(AND($E$4=0,$F$4=3),1,0))+SUM(IF(AND($F$14=0,$E$14=3),1,0))+SUM(IF(AND($F$18=0,$E$18=3),1,0))+SUM(IF(AND($E$20=0,$F$20=3),1,0))</f>
        <v>0</v>
      </c>
      <c r="AM12" s="5"/>
      <c r="AN12" s="6"/>
      <c r="AO12" s="6"/>
      <c r="AP12" s="6"/>
      <c r="AQ12" s="6"/>
      <c r="AR12" s="6"/>
      <c r="AS12" s="6"/>
      <c r="AT12" s="6"/>
      <c r="AU12" s="6"/>
      <c r="AV12" s="6"/>
    </row>
    <row r="13" spans="1:48" ht="12.75" customHeight="1">
      <c r="A13" s="1" t="s">
        <v>59</v>
      </c>
      <c r="B13" s="1" t="s">
        <v>32</v>
      </c>
      <c r="C13" s="11" t="s">
        <v>36</v>
      </c>
      <c r="D13" s="11" t="s">
        <v>27</v>
      </c>
      <c r="E13" s="1">
        <v>0</v>
      </c>
      <c r="F13" s="1">
        <v>3</v>
      </c>
      <c r="G13" s="1">
        <v>11</v>
      </c>
      <c r="H13" s="1">
        <v>25</v>
      </c>
      <c r="I13" s="1">
        <v>15</v>
      </c>
      <c r="J13" s="1">
        <v>25</v>
      </c>
      <c r="K13" s="1">
        <v>18</v>
      </c>
      <c r="L13" s="1">
        <v>25</v>
      </c>
      <c r="M13" s="1">
        <v>0</v>
      </c>
      <c r="N13" s="1">
        <v>0</v>
      </c>
      <c r="O13" s="1">
        <v>0</v>
      </c>
      <c r="P13" s="1">
        <v>0</v>
      </c>
      <c r="Q13" s="1">
        <f t="shared" si="0"/>
        <v>44</v>
      </c>
      <c r="R13" s="1">
        <f t="shared" si="1"/>
        <v>75</v>
      </c>
      <c r="S13" s="5"/>
      <c r="T13" s="7">
        <v>2</v>
      </c>
      <c r="U13" s="22" t="s">
        <v>41</v>
      </c>
      <c r="V13" s="2">
        <f>AG13*3+AH13*3+AI13*2+AJ13*1</f>
        <v>9</v>
      </c>
      <c r="W13" s="1">
        <f>X13+Y13+Z13</f>
        <v>4</v>
      </c>
      <c r="X13" s="13">
        <f>COUNTIF($E$6,"=3")+COUNTIF($F$8,"=3")+COUNTIF($E$14,"=3")+COUNTIF($F$22,"=3")</f>
        <v>3</v>
      </c>
      <c r="Y13" s="13">
        <f>SUM(IF($E$6&lt;$F$6,1,0))+SUM(IF($F$8&lt;$E$8,1,0))+SUM(IF($E$14&lt;$F$14,1,0))+SUM(IF($F$22&lt;$E$22,1,0))</f>
        <v>1</v>
      </c>
      <c r="Z13" s="14"/>
      <c r="AA13" s="13">
        <f>$E$6+$F$8+$E$14+$F$22</f>
        <v>9</v>
      </c>
      <c r="AB13" s="13">
        <f>$F$6+$E$8+$F$14+$E$22</f>
        <v>4</v>
      </c>
      <c r="AC13" s="23">
        <f>IF(AB13=0,"MAX",AA13/AB13)</f>
        <v>2.25</v>
      </c>
      <c r="AD13" s="13">
        <f>$Q$6+$R$8+$Q$14+$R$22</f>
        <v>302</v>
      </c>
      <c r="AE13" s="13">
        <f>$R$6+$Q$8+$R$14+$Q$22</f>
        <v>251</v>
      </c>
      <c r="AF13" s="23">
        <f>IF(AE13=0,"MAX",AD13/AE13)</f>
        <v>1.203187250996016</v>
      </c>
      <c r="AG13" s="13">
        <f>SUM(IF(AND($E$6=3,$F$6=0),1,0))+SUM(IF(AND($F$8=3,$E$8=0),1,0))+SUM(IF(AND($E$14=3,$F$14=0),1,0))+SUM(IF(AND($F$22=3,$E$22=0),1,0))</f>
        <v>2</v>
      </c>
      <c r="AH13" s="13">
        <f>SUM(IF(AND($E$6=3,$F$6=1),1,0))+SUM(IF(AND($F$8=3,$E$8=1),1,0))+SUM(IF(AND($E$14=3,$F$14=1),1,0))+SUM(IF(AND($F$22=3,$E$22=1),1,0))</f>
        <v>1</v>
      </c>
      <c r="AI13" s="13">
        <f>SUM(IF(AND($E$6=3,$F$6=2),1,0))+SUM(IF(AND($F$8=3,$E$8=2),1,0))+SUM(IF(AND($E$14=3,$F$14=2),1,0))+SUM(IF(AND($F$22=3,$E$22=2),1,0))</f>
        <v>0</v>
      </c>
      <c r="AJ13" s="13">
        <f>SUM(IF(AND($E$6=2,$F$6=3),1,0))+SUM(IF(AND($F$8=2,$E$8=3),1,0))+SUM(IF(AND($E$14=2,$F$14=3),1,0))+SUM(IF(AND($F$22=2,$E$22=3),1,0))</f>
        <v>0</v>
      </c>
      <c r="AK13" s="13">
        <f>SUM(IF(AND($E$6=1,$F$6=3),1,0))+SUM(IF(AND($F$8=1,$E$8=3),1,0))+SUM(IF(AND($E$14=1,$F$14=3),1,0))+SUM(IF(AND($F$22=1,$E$22=3),1,0))</f>
        <v>0</v>
      </c>
      <c r="AL13" s="13">
        <f>SUM(IF(AND($E$6=0,$F$6=3),1,0))+SUM(IF(AND($F$8=0,$E$8=3),1,0))+SUM(IF(AND($E$14=0,$F$14=3),1,0))+SUM(IF(AND($F$22=0,$E$22=3),1,0))</f>
        <v>1</v>
      </c>
      <c r="AM13" s="5"/>
      <c r="AN13" s="6"/>
      <c r="AO13" s="6"/>
      <c r="AP13" s="6"/>
      <c r="AQ13" s="6"/>
      <c r="AR13" s="6"/>
      <c r="AS13" s="6"/>
      <c r="AT13" s="6"/>
      <c r="AU13" s="6"/>
      <c r="AV13" s="6"/>
    </row>
    <row r="14" spans="1:48" ht="12.75" customHeight="1">
      <c r="A14" s="1" t="s">
        <v>69</v>
      </c>
      <c r="B14" s="1" t="s">
        <v>32</v>
      </c>
      <c r="C14" s="11" t="s">
        <v>41</v>
      </c>
      <c r="D14" s="11" t="s">
        <v>28</v>
      </c>
      <c r="E14" s="1">
        <v>0</v>
      </c>
      <c r="F14" s="1">
        <v>3</v>
      </c>
      <c r="G14" s="1">
        <v>24</v>
      </c>
      <c r="H14" s="1">
        <v>26</v>
      </c>
      <c r="I14" s="1">
        <v>9</v>
      </c>
      <c r="J14" s="1">
        <v>25</v>
      </c>
      <c r="K14" s="1">
        <v>20</v>
      </c>
      <c r="L14" s="1">
        <v>25</v>
      </c>
      <c r="M14" s="1">
        <v>0</v>
      </c>
      <c r="N14" s="1">
        <v>0</v>
      </c>
      <c r="O14" s="1">
        <v>0</v>
      </c>
      <c r="P14" s="1">
        <v>0</v>
      </c>
      <c r="Q14" s="1">
        <f t="shared" si="0"/>
        <v>53</v>
      </c>
      <c r="R14" s="1">
        <f t="shared" si="1"/>
        <v>76</v>
      </c>
      <c r="S14" s="5"/>
      <c r="T14" s="25">
        <v>3</v>
      </c>
      <c r="U14" s="26" t="s">
        <v>46</v>
      </c>
      <c r="V14" s="27">
        <f>AG14*3+AH14*3+AI14*2+AJ14*1</f>
        <v>5</v>
      </c>
      <c r="W14" s="28">
        <f>X14+Y14+Z14</f>
        <v>4</v>
      </c>
      <c r="X14" s="29">
        <f>COUNTIF($E$8,"=3")+COUNTIF($F$12,"=3")+COUNTIF($E$16,"=3")+COUNTIF($F$20,"=3")</f>
        <v>2</v>
      </c>
      <c r="Y14" s="29">
        <f>SUM(IF($E$8&lt;$F$8,1,0))+SUM(IF($F$12&lt;$E$12,1,0))+SUM(IF($E$16&lt;$F$16,1,0))+SUM(IF($F$20&lt;$E$20,1,0))</f>
        <v>2</v>
      </c>
      <c r="Z14" s="59"/>
      <c r="AA14" s="29">
        <f>$E$8+$F$12+$E$16+$F$20</f>
        <v>6</v>
      </c>
      <c r="AB14" s="29">
        <f>$F$8+$E$12+$F$16+$E$20</f>
        <v>8</v>
      </c>
      <c r="AC14" s="31">
        <f>IF(AB14=0,"MAX",AA14/AB14)</f>
        <v>0.75</v>
      </c>
      <c r="AD14" s="29">
        <f>$Q$8+$R$12+$Q$16+$R$20</f>
        <v>280</v>
      </c>
      <c r="AE14" s="29">
        <f>$R$8+$Q$12+$R$16+$Q$20</f>
        <v>293</v>
      </c>
      <c r="AF14" s="31">
        <f>IF(AE14=0,"MAX",AD14/AE14)</f>
        <v>0.9556313993174061</v>
      </c>
      <c r="AG14" s="29">
        <f>SUM(IF(AND($E$8=3,$F$8=0),1,0))+SUM(IF(AND($F$12=3,$E$12=0),1,0))+SUM(IF(AND($E$16=3,$F$16=0),1,0))+SUM(IF(AND($F$20=3,$E$20=0),1,0))</f>
        <v>1</v>
      </c>
      <c r="AH14" s="29">
        <f>SUM(IF(AND($E$8=3,$F$8=1),1,0))+SUM(IF(AND($F$12=3,$E$12=1),1,0))+SUM(IF(AND($E$16=3,$F$16=1),1,0))+SUM(IF(AND($F$20=3,$E$20=1),1,0))</f>
        <v>0</v>
      </c>
      <c r="AI14" s="29">
        <f>SUM(IF(AND($E$8=3,$F$8=2),1,0))+SUM(IF(AND($F$12=3,$E$12=2),1,0))+SUM(IF(AND($E$16=3,$F$16=2),1,0))+SUM(IF(AND($F$20=3,$E$20=2),1,0))</f>
        <v>1</v>
      </c>
      <c r="AJ14" s="29">
        <f>SUM(IF(AND($E$8=2,$F$8=3),1,0))+SUM(IF(AND($F$12=2,$E$12=3),1,0))+SUM(IF(AND($E$16=2,$F$16=3),1,0))+SUM(IF(AND($F$20=2,$E$20=3),1,0))</f>
        <v>0</v>
      </c>
      <c r="AK14" s="29">
        <f>SUM(IF(AND($E$8=1,$F$8=3),1,0))+SUM(IF(AND($F$12=1,$E$12=3),1,0))+SUM(IF(AND($E$16=1,$F$16=3),1,0))+SUM(IF(AND($F$20=1,$E$20=3),1,0))</f>
        <v>0</v>
      </c>
      <c r="AL14" s="29">
        <f>SUM(IF(AND($E$8=0,$F$8=3),1,0))+SUM(IF(AND($F$12=0,$E$12=3),1,0))+SUM(IF(AND($E$16=0,$F$16=3),1,0))+SUM(IF(AND($F$20=0,$E$20=3),1,0))</f>
        <v>2</v>
      </c>
      <c r="AM14" s="5"/>
      <c r="AN14" s="6"/>
      <c r="AO14" s="6"/>
      <c r="AP14" s="6"/>
      <c r="AQ14" s="6"/>
      <c r="AR14" s="6"/>
      <c r="AS14" s="6"/>
      <c r="AT14" s="6"/>
      <c r="AU14" s="6"/>
      <c r="AV14" s="6"/>
    </row>
    <row r="15" spans="1:48" ht="12.75" customHeight="1">
      <c r="A15" s="1" t="s">
        <v>71</v>
      </c>
      <c r="B15" s="1" t="s">
        <v>32</v>
      </c>
      <c r="C15" s="11" t="s">
        <v>44</v>
      </c>
      <c r="D15" s="26" t="s">
        <v>33</v>
      </c>
      <c r="E15" s="1">
        <v>0</v>
      </c>
      <c r="F15" s="1">
        <v>3</v>
      </c>
      <c r="G15" s="1">
        <v>20</v>
      </c>
      <c r="H15" s="1">
        <v>25</v>
      </c>
      <c r="I15" s="1">
        <v>23</v>
      </c>
      <c r="J15" s="1">
        <v>25</v>
      </c>
      <c r="K15" s="1">
        <v>17</v>
      </c>
      <c r="L15" s="1">
        <v>25</v>
      </c>
      <c r="M15" s="1">
        <v>0</v>
      </c>
      <c r="N15" s="1">
        <v>0</v>
      </c>
      <c r="O15" s="1">
        <v>0</v>
      </c>
      <c r="P15" s="1">
        <v>0</v>
      </c>
      <c r="Q15" s="1">
        <f t="shared" si="0"/>
        <v>60</v>
      </c>
      <c r="R15" s="1">
        <f t="shared" si="1"/>
        <v>75</v>
      </c>
      <c r="S15" s="5"/>
      <c r="T15" s="7">
        <v>4</v>
      </c>
      <c r="U15" s="11" t="s">
        <v>42</v>
      </c>
      <c r="V15" s="7">
        <f>AG15*3+AH15*3+AI15*2+AJ15*1</f>
        <v>2</v>
      </c>
      <c r="W15" s="1">
        <f>X15+Y15+Z15</f>
        <v>4</v>
      </c>
      <c r="X15" s="13">
        <f>COUNTIF($F$6,"=3")+COUNTIF($F$10,"=3")+COUNTIF($E$12,"=3")+COUNTIF($E$18,"=3")</f>
        <v>1</v>
      </c>
      <c r="Y15" s="13">
        <f>SUM(IF($F$6&lt;$E$6,1,0))+SUM(IF($F$10&lt;$E$10,1,0))+SUM(IF($E$12&lt;$F$12,1,0))+SUM(IF($E$18&lt;$F$18,1,0))</f>
        <v>3</v>
      </c>
      <c r="Z15" s="1"/>
      <c r="AA15" s="13">
        <f>$F$6+$F$10+$E$12+$E17</f>
        <v>4</v>
      </c>
      <c r="AB15" s="13">
        <f>$E$6+$E$10+$F$12+$F17</f>
        <v>11</v>
      </c>
      <c r="AC15" s="23">
        <f>IF(AB15=0,"MAX",AA15/AB15)</f>
        <v>0.36363636363636365</v>
      </c>
      <c r="AD15" s="13">
        <f>$R$6+$R$10+$Q$12+$Q$18</f>
        <v>261</v>
      </c>
      <c r="AE15" s="13">
        <f>$Q$6+$Q$10+$R$12+$R$18</f>
        <v>353</v>
      </c>
      <c r="AF15" s="23">
        <f>IF(AE15=0,"MAX",AD15/AE15)</f>
        <v>0.7393767705382436</v>
      </c>
      <c r="AG15" s="13">
        <f>SUM(IF(AND($F$6=3,$E$6=0),1,0))+SUM(IF(AND($F$10=3,$E$10=0),1,0))+SUM(IF(AND($E$12=3,$F$12=0),1,0))+SUM(IF(AND($E$18=3,$F$18=0),1,0))</f>
        <v>0</v>
      </c>
      <c r="AH15" s="13">
        <f>SUM(IF(AND($F$6=3,$E$6=1),1,0))+SUM(IF(AND($F$10=3,$E$10=1),1,0))+SUM(IF(AND($E$12=3,$F$12=1),1,0))+SUM(IF(AND($E$18=3,$F$18=1),1,0))</f>
        <v>0</v>
      </c>
      <c r="AI15" s="13">
        <f>SUM(IF(AND($F$6=3,$E$6=2),1,0))+SUM(IF(AND($F$10=3,$E$10=2),1,0))+SUM(IF(AND($E$12=3,$F$12=2),1,0))+SUM(IF(AND($E$18=3,$F$18=2),1,0))</f>
        <v>1</v>
      </c>
      <c r="AJ15" s="13">
        <f>SUM(IF(AND($F$6=2,$E$6=3),1,0))+SUM(IF(AND($F$10=2,$E$10=3),1,0))+SUM(IF(AND($E$12=2,$F$12=3),1,0))+SUM(IF(AND($E$18=2,$F$18=3),1,0))</f>
        <v>0</v>
      </c>
      <c r="AK15" s="13">
        <f>SUM(IF(AND($F$6=1,$E$6=3),1,0))+SUM(IF(AND($F$10=1,$E$10=3),1,0))+SUM(IF(AND($E$12=1,$F$12=3),1,0))+SUM(IF(AND($E$18=1,$F$18=3),1,0))</f>
        <v>1</v>
      </c>
      <c r="AL15" s="13">
        <f>SUM(IF(AND($F$6=0,$E$6=3),1,0))+SUM(IF(AND($F$10=0,$E$10=3),1,0))+SUM(IF(AND($E$12=0,$F$12=3),1,0))+SUM(IF(AND($E$18=0,$F$18=3),1,0))</f>
        <v>2</v>
      </c>
      <c r="AM15" s="5"/>
      <c r="AN15" s="6"/>
      <c r="AO15" s="6"/>
      <c r="AP15" s="6"/>
      <c r="AQ15" s="6"/>
      <c r="AR15" s="6"/>
      <c r="AS15" s="6"/>
      <c r="AT15" s="6"/>
      <c r="AU15" s="6"/>
      <c r="AV15" s="6"/>
    </row>
    <row r="16" spans="1:48" ht="12.75" customHeight="1">
      <c r="A16" s="1" t="s">
        <v>72</v>
      </c>
      <c r="B16" s="1" t="s">
        <v>32</v>
      </c>
      <c r="C16" s="11" t="s">
        <v>46</v>
      </c>
      <c r="D16" s="26" t="s">
        <v>35</v>
      </c>
      <c r="E16" s="1">
        <v>3</v>
      </c>
      <c r="F16" s="1">
        <v>2</v>
      </c>
      <c r="G16" s="1">
        <v>25</v>
      </c>
      <c r="H16" s="1">
        <v>23</v>
      </c>
      <c r="I16" s="1">
        <v>18</v>
      </c>
      <c r="J16" s="1">
        <v>25</v>
      </c>
      <c r="K16" s="1">
        <v>25</v>
      </c>
      <c r="L16" s="1">
        <v>15</v>
      </c>
      <c r="M16" s="1">
        <v>22</v>
      </c>
      <c r="N16" s="1">
        <v>25</v>
      </c>
      <c r="O16" s="1">
        <v>15</v>
      </c>
      <c r="P16" s="1">
        <v>7</v>
      </c>
      <c r="Q16" s="1">
        <f t="shared" si="0"/>
        <v>105</v>
      </c>
      <c r="R16" s="1">
        <f t="shared" si="1"/>
        <v>95</v>
      </c>
      <c r="S16" s="5"/>
      <c r="T16" s="7">
        <v>5</v>
      </c>
      <c r="U16" s="11" t="s">
        <v>35</v>
      </c>
      <c r="V16" s="7">
        <f>AG16*3+AH16*3+AI16*2+AJ16*1</f>
        <v>2</v>
      </c>
      <c r="W16" s="1">
        <f>X16+Y16+Z16</f>
        <v>4</v>
      </c>
      <c r="X16" s="13">
        <f>COUNTIF($F$4,"=3")+COUNTIF($E$10,"=3")+COUNTIF($F$16,"=3")+COUNTIF($E$22,"=3")</f>
        <v>0</v>
      </c>
      <c r="Y16" s="13">
        <f>SUM(IF($F$4&lt;$E$4,1,0))+SUM(IF($E$10&lt;$F$10,1,0))+SUM(IF($F$16&lt;$E$16,1,0))+SUM(IF($E$22&lt;$F$22,1,0))</f>
        <v>4</v>
      </c>
      <c r="Z16" s="1"/>
      <c r="AA16" s="13">
        <f>$F$4+$E$10+$F$16+$E$22</f>
        <v>4</v>
      </c>
      <c r="AB16" s="13">
        <f>$E$4+$F$10+$E$16+$F$22</f>
        <v>12</v>
      </c>
      <c r="AC16" s="23">
        <f>IF(AB16=0,"MAX",AA16/AB16)</f>
        <v>0.3333333333333333</v>
      </c>
      <c r="AD16" s="13">
        <f>$R$4+$Q$10+$R$16+$Q$22</f>
        <v>278</v>
      </c>
      <c r="AE16" s="13">
        <f>$Q$4+$R$10+$Q$16+$R$22</f>
        <v>359</v>
      </c>
      <c r="AF16" s="23">
        <f>IF(AE16=0,"MAX",AD16/AE16)</f>
        <v>0.7743732590529248</v>
      </c>
      <c r="AG16" s="13">
        <f>SUM(IF(AND($F$4=3,$E$4=0),1,0))+SUM(IF(AND($E$10=3,$F$10=0),1,0))+SUM(IF(AND($F$16=3,$E$16=0),1,0))+SUM(IF(AND($E$22=3,$F$22=0),1,0))</f>
        <v>0</v>
      </c>
      <c r="AH16" s="13">
        <f>SUM(IF(AND($F$4=3,$E$4=1),1,0))+SUM(IF(AND($E$10=3,$F$10=1),1,0))+SUM(IF(AND($F$16=3,$E$16=1),1,0))+SUM(IF(AND($E$22=3,$F$22=1),1,0))</f>
        <v>0</v>
      </c>
      <c r="AI16" s="13">
        <f>SUM(IF(AND($F$4=3,$E$4=2),1,0))+SUM(IF(AND($E$10=3,$F$10=2),1,0))+SUM(IF(AND($F$16=3,$E$16=2),1,0))+SUM(IF(AND($E$22=3,$F$22=2),1,0))</f>
        <v>0</v>
      </c>
      <c r="AJ16" s="13">
        <f>SUM(IF(AND($F$4=2,$E$4=3),1,0))+SUM(IF(AND($E$10=2,$F$10=3),1,0))+SUM(IF(AND($F$16=2,$E$16=3),1,0))+SUM(IF(AND($E$22=2,$F$22=3),1,0))</f>
        <v>2</v>
      </c>
      <c r="AK16" s="13">
        <f>SUM(IF(AND($F$4=1,$E$4=3),1,0))+SUM(IF(AND($E$10=1,$F$10=3),1,0))+SUM(IF(AND($F$16=1,$E$16=3),1,0))+SUM(IF(AND($E$22=1,$F$22=3),1,0))</f>
        <v>0</v>
      </c>
      <c r="AL16" s="13">
        <f>SUM(IF(AND($F$4=0,$E$4=3),1,0))+SUM(IF(AND($E$10=0,$F$10=3),1,0))+SUM(IF(AND($F$16=0,$E$16=3),1,0))+SUM(IF(AND($E$22=0,$F$22=3),1,0))</f>
        <v>2</v>
      </c>
      <c r="AM16" s="5"/>
      <c r="AN16" s="6"/>
      <c r="AO16" s="6"/>
      <c r="AP16" s="6"/>
      <c r="AQ16" s="6"/>
      <c r="AR16" s="6"/>
      <c r="AS16" s="6"/>
      <c r="AT16" s="6"/>
      <c r="AU16" s="6"/>
      <c r="AV16" s="6"/>
    </row>
    <row r="17" spans="1:48" ht="12.75" customHeight="1">
      <c r="A17" s="1" t="s">
        <v>77</v>
      </c>
      <c r="B17" s="1" t="s">
        <v>32</v>
      </c>
      <c r="C17" s="11" t="s">
        <v>38</v>
      </c>
      <c r="D17" s="11" t="s">
        <v>27</v>
      </c>
      <c r="E17" s="1">
        <v>0</v>
      </c>
      <c r="F17" s="1">
        <v>3</v>
      </c>
      <c r="G17" s="1">
        <v>7</v>
      </c>
      <c r="H17" s="1">
        <v>25</v>
      </c>
      <c r="I17" s="1">
        <v>15</v>
      </c>
      <c r="J17" s="1">
        <v>25</v>
      </c>
      <c r="K17" s="1">
        <v>12</v>
      </c>
      <c r="L17" s="1">
        <v>25</v>
      </c>
      <c r="M17" s="1">
        <v>0</v>
      </c>
      <c r="N17" s="1">
        <v>0</v>
      </c>
      <c r="O17" s="1">
        <v>0</v>
      </c>
      <c r="P17" s="1">
        <v>0</v>
      </c>
      <c r="Q17" s="1">
        <f t="shared" si="0"/>
        <v>34</v>
      </c>
      <c r="R17" s="1">
        <f t="shared" si="1"/>
        <v>75</v>
      </c>
      <c r="S17" s="20"/>
      <c r="T17" s="3"/>
      <c r="U17" s="3"/>
      <c r="V17" s="3"/>
      <c r="W17" s="3"/>
      <c r="X17" s="3"/>
      <c r="Y17" s="3"/>
      <c r="Z17" s="3"/>
      <c r="AA17" s="3"/>
      <c r="AB17" s="3"/>
      <c r="AC17" s="35"/>
      <c r="AD17" s="3"/>
      <c r="AE17" s="3"/>
      <c r="AF17" s="35"/>
      <c r="AG17" s="5"/>
      <c r="AH17" s="5"/>
      <c r="AI17" s="5"/>
      <c r="AJ17" s="5"/>
      <c r="AK17" s="5"/>
      <c r="AL17" s="5"/>
      <c r="AM17" s="5"/>
      <c r="AN17" s="6"/>
      <c r="AO17" s="6"/>
      <c r="AP17" s="6"/>
      <c r="AQ17" s="6"/>
      <c r="AR17" s="6"/>
      <c r="AS17" s="6"/>
      <c r="AT17" s="6"/>
      <c r="AU17" s="6"/>
      <c r="AV17" s="6"/>
    </row>
    <row r="18" spans="1:48" ht="12.75" customHeight="1">
      <c r="A18" s="1" t="s">
        <v>78</v>
      </c>
      <c r="B18" s="1" t="s">
        <v>32</v>
      </c>
      <c r="C18" s="11" t="s">
        <v>42</v>
      </c>
      <c r="D18" s="11" t="s">
        <v>28</v>
      </c>
      <c r="E18" s="1">
        <v>0</v>
      </c>
      <c r="F18" s="1">
        <v>3</v>
      </c>
      <c r="G18" s="1">
        <v>15</v>
      </c>
      <c r="H18" s="1">
        <v>25</v>
      </c>
      <c r="I18" s="1">
        <v>9</v>
      </c>
      <c r="J18" s="1">
        <v>25</v>
      </c>
      <c r="K18" s="1">
        <v>8</v>
      </c>
      <c r="L18" s="1">
        <v>25</v>
      </c>
      <c r="M18" s="1">
        <v>0</v>
      </c>
      <c r="N18" s="1">
        <v>0</v>
      </c>
      <c r="O18" s="1">
        <v>0</v>
      </c>
      <c r="P18" s="1">
        <v>0</v>
      </c>
      <c r="Q18" s="1">
        <f t="shared" si="0"/>
        <v>32</v>
      </c>
      <c r="R18" s="1">
        <f t="shared" si="1"/>
        <v>75</v>
      </c>
      <c r="S18" s="20"/>
      <c r="T18" s="19"/>
      <c r="U18" s="19"/>
      <c r="V18" s="19"/>
      <c r="W18" s="3"/>
      <c r="X18" s="3"/>
      <c r="Y18" s="3"/>
      <c r="Z18" s="3"/>
      <c r="AA18" s="3"/>
      <c r="AB18" s="3"/>
      <c r="AC18" s="35"/>
      <c r="AD18" s="3"/>
      <c r="AE18" s="3"/>
      <c r="AF18" s="35"/>
      <c r="AG18" s="5"/>
      <c r="AH18" s="5"/>
      <c r="AI18" s="5"/>
      <c r="AJ18" s="5"/>
      <c r="AK18" s="5"/>
      <c r="AL18" s="5"/>
      <c r="AM18" s="5"/>
      <c r="AN18" s="6"/>
      <c r="AO18" s="6"/>
      <c r="AP18" s="6"/>
      <c r="AQ18" s="6"/>
      <c r="AR18" s="6"/>
      <c r="AS18" s="6"/>
      <c r="AT18" s="6"/>
      <c r="AU18" s="6"/>
      <c r="AV18" s="6"/>
    </row>
    <row r="19" spans="1:48" ht="12.75" customHeight="1">
      <c r="A19" s="1" t="s">
        <v>80</v>
      </c>
      <c r="B19" s="1" t="s">
        <v>32</v>
      </c>
      <c r="C19" s="11" t="s">
        <v>27</v>
      </c>
      <c r="D19" s="11" t="s">
        <v>44</v>
      </c>
      <c r="E19" s="1">
        <v>3</v>
      </c>
      <c r="F19" s="1">
        <v>0</v>
      </c>
      <c r="G19" s="1">
        <v>25</v>
      </c>
      <c r="H19" s="1">
        <v>15</v>
      </c>
      <c r="I19" s="1">
        <v>25</v>
      </c>
      <c r="J19" s="1">
        <v>20</v>
      </c>
      <c r="K19" s="1">
        <v>25</v>
      </c>
      <c r="L19" s="1">
        <v>8</v>
      </c>
      <c r="M19" s="1">
        <v>0</v>
      </c>
      <c r="N19" s="1">
        <v>0</v>
      </c>
      <c r="O19" s="1">
        <v>0</v>
      </c>
      <c r="P19" s="1">
        <v>0</v>
      </c>
      <c r="Q19" s="1">
        <f t="shared" si="0"/>
        <v>75</v>
      </c>
      <c r="R19" s="1">
        <f t="shared" si="1"/>
        <v>43</v>
      </c>
      <c r="S19" s="5"/>
      <c r="T19" s="19"/>
      <c r="U19" s="4" t="s">
        <v>29</v>
      </c>
      <c r="V19" s="19"/>
      <c r="W19" s="3"/>
      <c r="X19" s="3"/>
      <c r="Y19" s="3"/>
      <c r="Z19" s="3"/>
      <c r="AA19" s="3"/>
      <c r="AB19" s="3"/>
      <c r="AC19" s="35"/>
      <c r="AD19" s="3"/>
      <c r="AE19" s="3"/>
      <c r="AF19" s="35"/>
      <c r="AG19" s="5"/>
      <c r="AH19" s="5"/>
      <c r="AI19" s="5"/>
      <c r="AJ19" s="5"/>
      <c r="AK19" s="5"/>
      <c r="AL19" s="5"/>
      <c r="AM19" s="5"/>
      <c r="AN19" s="6"/>
      <c r="AO19" s="6"/>
      <c r="AP19" s="6"/>
      <c r="AQ19" s="6"/>
      <c r="AR19" s="6"/>
      <c r="AS19" s="6"/>
      <c r="AT19" s="6"/>
      <c r="AU19" s="6"/>
      <c r="AV19" s="6"/>
    </row>
    <row r="20" spans="1:48" ht="12.75" customHeight="1">
      <c r="A20" s="1" t="s">
        <v>81</v>
      </c>
      <c r="B20" s="1" t="s">
        <v>32</v>
      </c>
      <c r="C20" s="11" t="s">
        <v>28</v>
      </c>
      <c r="D20" s="11" t="s">
        <v>46</v>
      </c>
      <c r="E20" s="1">
        <v>3</v>
      </c>
      <c r="F20" s="1">
        <v>0</v>
      </c>
      <c r="G20" s="1">
        <v>25</v>
      </c>
      <c r="H20" s="1">
        <v>15</v>
      </c>
      <c r="I20" s="1">
        <v>25</v>
      </c>
      <c r="J20" s="1">
        <v>13</v>
      </c>
      <c r="K20" s="1">
        <v>25</v>
      </c>
      <c r="L20" s="1">
        <v>20</v>
      </c>
      <c r="M20" s="1">
        <v>0</v>
      </c>
      <c r="N20" s="1">
        <v>0</v>
      </c>
      <c r="O20" s="1">
        <v>0</v>
      </c>
      <c r="P20" s="1">
        <v>0</v>
      </c>
      <c r="Q20" s="1">
        <f t="shared" si="0"/>
        <v>75</v>
      </c>
      <c r="R20" s="1">
        <f t="shared" si="1"/>
        <v>48</v>
      </c>
      <c r="S20" s="5"/>
      <c r="T20" s="19"/>
      <c r="U20" s="11" t="s">
        <v>28</v>
      </c>
      <c r="V20" s="19"/>
      <c r="W20" s="3"/>
      <c r="X20" s="3"/>
      <c r="Y20" s="3"/>
      <c r="Z20" s="3"/>
      <c r="AA20" s="3"/>
      <c r="AB20" s="3"/>
      <c r="AC20" s="35"/>
      <c r="AD20" s="3"/>
      <c r="AE20" s="3"/>
      <c r="AF20" s="35"/>
      <c r="AG20" s="5"/>
      <c r="AH20" s="5"/>
      <c r="AI20" s="5"/>
      <c r="AJ20" s="5"/>
      <c r="AK20" s="5"/>
      <c r="AL20" s="5"/>
      <c r="AM20" s="5"/>
      <c r="AN20" s="6"/>
      <c r="AO20" s="6"/>
      <c r="AP20" s="6"/>
      <c r="AQ20" s="6"/>
      <c r="AR20" s="6"/>
      <c r="AS20" s="6"/>
      <c r="AT20" s="6"/>
      <c r="AU20" s="6"/>
      <c r="AV20" s="6"/>
    </row>
    <row r="21" spans="1:48" ht="12.75" customHeight="1">
      <c r="A21" s="1" t="s">
        <v>82</v>
      </c>
      <c r="B21" s="1" t="s">
        <v>32</v>
      </c>
      <c r="C21" s="26" t="s">
        <v>33</v>
      </c>
      <c r="D21" s="11" t="s">
        <v>36</v>
      </c>
      <c r="E21" s="1">
        <v>3</v>
      </c>
      <c r="F21" s="1">
        <v>2</v>
      </c>
      <c r="G21" s="1">
        <v>20</v>
      </c>
      <c r="H21" s="1">
        <v>25</v>
      </c>
      <c r="I21" s="1">
        <v>25</v>
      </c>
      <c r="J21" s="1">
        <v>18</v>
      </c>
      <c r="K21" s="1">
        <v>25</v>
      </c>
      <c r="L21" s="1">
        <v>22</v>
      </c>
      <c r="M21" s="1">
        <v>22</v>
      </c>
      <c r="N21" s="1">
        <v>25</v>
      </c>
      <c r="O21" s="1">
        <v>15</v>
      </c>
      <c r="P21" s="1">
        <v>9</v>
      </c>
      <c r="Q21" s="1">
        <f t="shared" si="0"/>
        <v>107</v>
      </c>
      <c r="R21" s="1">
        <f t="shared" si="1"/>
        <v>99</v>
      </c>
      <c r="S21" s="5"/>
      <c r="T21" s="3"/>
      <c r="U21" s="3"/>
      <c r="V21" s="3"/>
      <c r="W21" s="3"/>
      <c r="X21" s="3"/>
      <c r="Y21" s="3"/>
      <c r="Z21" s="3"/>
      <c r="AA21" s="3"/>
      <c r="AB21" s="3"/>
      <c r="AC21" s="35"/>
      <c r="AD21" s="3"/>
      <c r="AE21" s="3"/>
      <c r="AF21" s="35"/>
      <c r="AG21" s="5"/>
      <c r="AH21" s="5"/>
      <c r="AI21" s="5"/>
      <c r="AJ21" s="5"/>
      <c r="AK21" s="5"/>
      <c r="AL21" s="5"/>
      <c r="AM21" s="5"/>
      <c r="AN21" s="6"/>
      <c r="AO21" s="6"/>
      <c r="AP21" s="6"/>
      <c r="AQ21" s="6"/>
      <c r="AR21" s="6"/>
      <c r="AS21" s="6"/>
      <c r="AT21" s="6"/>
      <c r="AU21" s="6"/>
      <c r="AV21" s="6"/>
    </row>
    <row r="22" spans="1:48" ht="12.75" customHeight="1">
      <c r="A22" s="1" t="s">
        <v>83</v>
      </c>
      <c r="B22" s="1" t="s">
        <v>32</v>
      </c>
      <c r="C22" s="26" t="s">
        <v>35</v>
      </c>
      <c r="D22" s="11" t="s">
        <v>41</v>
      </c>
      <c r="E22" s="1">
        <v>0</v>
      </c>
      <c r="F22" s="1">
        <v>3</v>
      </c>
      <c r="G22" s="1">
        <v>16</v>
      </c>
      <c r="H22" s="1">
        <v>25</v>
      </c>
      <c r="I22" s="1">
        <v>13</v>
      </c>
      <c r="J22" s="1">
        <v>25</v>
      </c>
      <c r="K22" s="1">
        <v>17</v>
      </c>
      <c r="L22" s="1">
        <v>25</v>
      </c>
      <c r="M22" s="1">
        <v>0</v>
      </c>
      <c r="N22" s="1">
        <v>0</v>
      </c>
      <c r="O22" s="1">
        <v>0</v>
      </c>
      <c r="P22" s="1">
        <v>0</v>
      </c>
      <c r="Q22" s="1">
        <f t="shared" si="0"/>
        <v>46</v>
      </c>
      <c r="R22" s="1">
        <f t="shared" si="1"/>
        <v>75</v>
      </c>
      <c r="S22" s="5"/>
      <c r="T22" s="3"/>
      <c r="U22" s="3"/>
      <c r="V22" s="3"/>
      <c r="W22" s="3"/>
      <c r="X22" s="3"/>
      <c r="Y22" s="3"/>
      <c r="Z22" s="3"/>
      <c r="AA22" s="3"/>
      <c r="AB22" s="3"/>
      <c r="AC22" s="35"/>
      <c r="AD22" s="3"/>
      <c r="AE22" s="3"/>
      <c r="AF22" s="35"/>
      <c r="AG22" s="5"/>
      <c r="AH22" s="5"/>
      <c r="AI22" s="5"/>
      <c r="AJ22" s="5"/>
      <c r="AK22" s="5"/>
      <c r="AL22" s="5"/>
      <c r="AM22" s="5"/>
      <c r="AN22" s="6"/>
      <c r="AO22" s="6"/>
      <c r="AP22" s="6"/>
      <c r="AQ22" s="6"/>
      <c r="AR22" s="6"/>
      <c r="AS22" s="6"/>
      <c r="AT22" s="6"/>
      <c r="AU22" s="6"/>
      <c r="AV22" s="6"/>
    </row>
    <row r="23" spans="1:48" ht="12.75" customHeight="1">
      <c r="A23" s="1" t="s">
        <v>84</v>
      </c>
      <c r="B23" s="1" t="s">
        <v>85</v>
      </c>
      <c r="C23" s="77" t="s">
        <v>27</v>
      </c>
      <c r="D23" s="77" t="s">
        <v>41</v>
      </c>
      <c r="E23" s="1">
        <v>3</v>
      </c>
      <c r="F23" s="1">
        <v>1</v>
      </c>
      <c r="G23" s="1">
        <v>25</v>
      </c>
      <c r="H23" s="1">
        <v>20</v>
      </c>
      <c r="I23" s="1">
        <v>20</v>
      </c>
      <c r="J23" s="1">
        <v>25</v>
      </c>
      <c r="K23" s="1">
        <v>25</v>
      </c>
      <c r="L23" s="1">
        <v>21</v>
      </c>
      <c r="M23" s="1">
        <v>25</v>
      </c>
      <c r="N23" s="1">
        <v>13</v>
      </c>
      <c r="O23" s="1">
        <v>0</v>
      </c>
      <c r="P23" s="1">
        <v>0</v>
      </c>
      <c r="Q23" s="1">
        <f t="shared" si="0"/>
        <v>95</v>
      </c>
      <c r="R23" s="1">
        <f t="shared" si="1"/>
        <v>79</v>
      </c>
      <c r="S23" s="5"/>
      <c r="T23" s="3"/>
      <c r="U23" s="3"/>
      <c r="V23" s="3"/>
      <c r="W23" s="3"/>
      <c r="X23" s="3"/>
      <c r="Y23" s="3"/>
      <c r="Z23" s="3"/>
      <c r="AA23" s="3"/>
      <c r="AB23" s="3"/>
      <c r="AC23" s="35"/>
      <c r="AD23" s="3"/>
      <c r="AE23" s="3"/>
      <c r="AF23" s="35"/>
      <c r="AG23" s="5"/>
      <c r="AH23" s="5"/>
      <c r="AI23" s="5"/>
      <c r="AJ23" s="5"/>
      <c r="AK23" s="5"/>
      <c r="AL23" s="5"/>
      <c r="AM23" s="5"/>
      <c r="AN23" s="6"/>
      <c r="AO23" s="6"/>
      <c r="AP23" s="6"/>
      <c r="AQ23" s="6"/>
      <c r="AR23" s="6"/>
      <c r="AS23" s="6"/>
      <c r="AT23" s="6"/>
      <c r="AU23" s="6"/>
      <c r="AV23" s="6"/>
    </row>
    <row r="24" spans="1:48" ht="12.75" customHeight="1">
      <c r="A24" s="1" t="s">
        <v>86</v>
      </c>
      <c r="B24" s="1" t="s">
        <v>87</v>
      </c>
      <c r="C24" s="77" t="s">
        <v>36</v>
      </c>
      <c r="D24" s="11" t="s">
        <v>28</v>
      </c>
      <c r="E24" s="1">
        <v>0</v>
      </c>
      <c r="F24" s="1">
        <v>3</v>
      </c>
      <c r="G24" s="1">
        <v>11</v>
      </c>
      <c r="H24" s="1">
        <v>25</v>
      </c>
      <c r="I24" s="1">
        <v>9</v>
      </c>
      <c r="J24" s="1">
        <v>25</v>
      </c>
      <c r="K24" s="1">
        <v>16</v>
      </c>
      <c r="L24" s="1">
        <v>25</v>
      </c>
      <c r="M24" s="1">
        <v>0</v>
      </c>
      <c r="N24" s="1">
        <v>0</v>
      </c>
      <c r="O24" s="1">
        <v>0</v>
      </c>
      <c r="P24" s="1">
        <v>0</v>
      </c>
      <c r="Q24" s="1">
        <f t="shared" si="0"/>
        <v>36</v>
      </c>
      <c r="R24" s="1">
        <f t="shared" si="1"/>
        <v>75</v>
      </c>
      <c r="S24" s="5"/>
      <c r="T24" s="3"/>
      <c r="U24" s="3"/>
      <c r="V24" s="3"/>
      <c r="W24" s="3"/>
      <c r="X24" s="3"/>
      <c r="Y24" s="3"/>
      <c r="Z24" s="3"/>
      <c r="AA24" s="3"/>
      <c r="AB24" s="3"/>
      <c r="AC24" s="35"/>
      <c r="AD24" s="3"/>
      <c r="AE24" s="3"/>
      <c r="AF24" s="35"/>
      <c r="AG24" s="5"/>
      <c r="AH24" s="5"/>
      <c r="AI24" s="5"/>
      <c r="AJ24" s="5"/>
      <c r="AK24" s="5"/>
      <c r="AL24" s="5"/>
      <c r="AM24" s="5"/>
      <c r="AN24" s="6"/>
      <c r="AO24" s="6"/>
      <c r="AP24" s="6"/>
      <c r="AQ24" s="6"/>
      <c r="AR24" s="6"/>
      <c r="AS24" s="6"/>
      <c r="AT24" s="6"/>
      <c r="AU24" s="6"/>
      <c r="AV24" s="6"/>
    </row>
    <row r="25" spans="1:48" ht="12.75" customHeight="1">
      <c r="A25" s="81" t="s">
        <v>88</v>
      </c>
      <c r="B25" s="81" t="s">
        <v>89</v>
      </c>
      <c r="C25" s="83" t="s">
        <v>41</v>
      </c>
      <c r="D25" s="83" t="s">
        <v>36</v>
      </c>
      <c r="E25" s="81">
        <v>3</v>
      </c>
      <c r="F25" s="81">
        <v>0</v>
      </c>
      <c r="G25" s="81">
        <v>25</v>
      </c>
      <c r="H25" s="81">
        <v>15</v>
      </c>
      <c r="I25" s="81">
        <v>25</v>
      </c>
      <c r="J25" s="81">
        <v>18</v>
      </c>
      <c r="K25" s="81">
        <v>25</v>
      </c>
      <c r="L25" s="81">
        <v>13</v>
      </c>
      <c r="M25" s="81">
        <v>0</v>
      </c>
      <c r="N25" s="81">
        <v>0</v>
      </c>
      <c r="O25" s="81">
        <v>0</v>
      </c>
      <c r="P25" s="81">
        <v>0</v>
      </c>
      <c r="Q25" s="81">
        <f t="shared" si="0"/>
        <v>75</v>
      </c>
      <c r="R25" s="81">
        <f t="shared" si="1"/>
        <v>46</v>
      </c>
      <c r="S25" s="84"/>
      <c r="T25" s="85"/>
      <c r="U25" s="85"/>
      <c r="V25" s="85"/>
      <c r="W25" s="85"/>
      <c r="X25" s="85"/>
      <c r="Y25" s="85"/>
      <c r="Z25" s="85"/>
      <c r="AA25" s="85"/>
      <c r="AB25" s="85"/>
      <c r="AC25" s="86"/>
      <c r="AD25" s="85"/>
      <c r="AE25" s="85"/>
      <c r="AF25" s="86"/>
      <c r="AG25" s="84"/>
      <c r="AH25" s="84"/>
      <c r="AI25" s="84"/>
      <c r="AJ25" s="84"/>
      <c r="AK25" s="84"/>
      <c r="AL25" s="84"/>
      <c r="AM25" s="84"/>
      <c r="AN25" s="87"/>
      <c r="AO25" s="87"/>
      <c r="AP25" s="87"/>
      <c r="AQ25" s="87"/>
      <c r="AR25" s="87"/>
      <c r="AS25" s="87"/>
      <c r="AT25" s="87"/>
      <c r="AU25" s="87"/>
      <c r="AV25" s="87"/>
    </row>
    <row r="26" spans="1:48" ht="12.75" customHeight="1">
      <c r="A26" s="1" t="s">
        <v>90</v>
      </c>
      <c r="B26" s="1" t="s">
        <v>91</v>
      </c>
      <c r="C26" s="77" t="s">
        <v>27</v>
      </c>
      <c r="D26" s="11" t="s">
        <v>28</v>
      </c>
      <c r="E26" s="1">
        <v>1</v>
      </c>
      <c r="F26" s="1">
        <v>3</v>
      </c>
      <c r="G26" s="1">
        <v>25</v>
      </c>
      <c r="H26" s="1">
        <v>18</v>
      </c>
      <c r="I26" s="1">
        <v>17</v>
      </c>
      <c r="J26" s="1">
        <v>25</v>
      </c>
      <c r="K26" s="1">
        <v>19</v>
      </c>
      <c r="L26" s="1">
        <v>25</v>
      </c>
      <c r="M26" s="1">
        <v>18</v>
      </c>
      <c r="N26" s="1">
        <v>25</v>
      </c>
      <c r="O26" s="1">
        <v>0</v>
      </c>
      <c r="P26" s="1">
        <v>0</v>
      </c>
      <c r="Q26" s="1">
        <f t="shared" si="0"/>
        <v>79</v>
      </c>
      <c r="R26" s="1">
        <f t="shared" si="1"/>
        <v>93</v>
      </c>
      <c r="S26" s="5"/>
      <c r="T26" s="3"/>
      <c r="U26" s="3"/>
      <c r="V26" s="3"/>
      <c r="W26" s="3"/>
      <c r="X26" s="3"/>
      <c r="Y26" s="3"/>
      <c r="Z26" s="3"/>
      <c r="AA26" s="3"/>
      <c r="AB26" s="3"/>
      <c r="AC26" s="35"/>
      <c r="AD26" s="3"/>
      <c r="AE26" s="3"/>
      <c r="AF26" s="35"/>
      <c r="AG26" s="5"/>
      <c r="AH26" s="5"/>
      <c r="AI26" s="5"/>
      <c r="AJ26" s="5"/>
      <c r="AK26" s="5"/>
      <c r="AL26" s="5"/>
      <c r="AM26" s="5"/>
      <c r="AN26" s="6"/>
      <c r="AO26" s="6"/>
      <c r="AP26" s="6"/>
      <c r="AQ26" s="6"/>
      <c r="AR26" s="6"/>
      <c r="AS26" s="6"/>
      <c r="AT26" s="6"/>
      <c r="AU26" s="6"/>
      <c r="AV26" s="6"/>
    </row>
    <row r="27" spans="1:48" ht="12.75" customHeight="1">
      <c r="A27" s="3"/>
      <c r="B27" s="3"/>
      <c r="C27" s="5"/>
      <c r="D27" s="5"/>
      <c r="E27" s="16"/>
      <c r="F27" s="3"/>
      <c r="G27" s="5"/>
      <c r="H27" s="3"/>
      <c r="I27" s="3"/>
      <c r="J27" s="3"/>
      <c r="K27" s="17"/>
      <c r="L27" s="5"/>
      <c r="M27" s="5"/>
      <c r="N27" s="5"/>
      <c r="O27" s="5"/>
      <c r="P27" s="5"/>
      <c r="Q27" s="5"/>
      <c r="R27" s="5"/>
      <c r="S27" s="5"/>
      <c r="T27" s="3"/>
      <c r="U27" s="3"/>
      <c r="V27" s="3"/>
      <c r="W27" s="3"/>
      <c r="X27" s="3"/>
      <c r="Y27" s="3"/>
      <c r="Z27" s="3"/>
      <c r="AA27" s="3"/>
      <c r="AB27" s="3"/>
      <c r="AC27" s="35"/>
      <c r="AD27" s="3"/>
      <c r="AE27" s="3"/>
      <c r="AF27" s="35"/>
      <c r="AG27" s="5"/>
      <c r="AH27" s="5"/>
      <c r="AI27" s="5"/>
      <c r="AJ27" s="5"/>
      <c r="AK27" s="5"/>
      <c r="AL27" s="5"/>
      <c r="AM27" s="5"/>
      <c r="AN27" s="6"/>
      <c r="AO27" s="6"/>
      <c r="AP27" s="6"/>
      <c r="AQ27" s="6"/>
      <c r="AR27" s="6"/>
      <c r="AS27" s="6"/>
      <c r="AT27" s="6"/>
      <c r="AU27" s="6"/>
      <c r="AV27" s="6"/>
    </row>
    <row r="28" spans="1:48" ht="12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88"/>
      <c r="AD28" s="6"/>
      <c r="AE28" s="6"/>
      <c r="AF28" s="88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</row>
  </sheetData>
  <sheetProtection/>
  <mergeCells count="18">
    <mergeCell ref="W10:Z10"/>
    <mergeCell ref="E1:F1"/>
    <mergeCell ref="C1:D1"/>
    <mergeCell ref="O2:P2"/>
    <mergeCell ref="Q2:R2"/>
    <mergeCell ref="W1:Z1"/>
    <mergeCell ref="M2:N2"/>
    <mergeCell ref="K2:L2"/>
    <mergeCell ref="I2:J2"/>
    <mergeCell ref="G2:H2"/>
    <mergeCell ref="E2:F2"/>
    <mergeCell ref="G1:R1"/>
    <mergeCell ref="AG1:AL1"/>
    <mergeCell ref="AD10:AF10"/>
    <mergeCell ref="AG10:AL10"/>
    <mergeCell ref="AA10:AC10"/>
    <mergeCell ref="AA1:AC1"/>
    <mergeCell ref="AD1:AF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22"/>
  <sheetViews>
    <sheetView showGridLines="0" zoomScalePageLayoutView="0" workbookViewId="0" topLeftCell="A1">
      <selection activeCell="A1" sqref="A1"/>
    </sheetView>
  </sheetViews>
  <sheetFormatPr defaultColWidth="14.421875" defaultRowHeight="15" customHeight="1"/>
  <cols>
    <col min="1" max="1" width="8.421875" style="0" customWidth="1"/>
    <col min="2" max="2" width="15.57421875" style="0" customWidth="1"/>
    <col min="3" max="3" width="20.8515625" style="0" customWidth="1"/>
    <col min="4" max="4" width="13.28125" style="0" customWidth="1"/>
    <col min="5" max="18" width="5.7109375" style="0" customWidth="1"/>
    <col min="19" max="19" width="4.140625" style="0" customWidth="1"/>
    <col min="20" max="20" width="2.57421875" style="0" customWidth="1"/>
    <col min="21" max="21" width="20.8515625" style="0" customWidth="1"/>
    <col min="22" max="22" width="8.57421875" style="0" customWidth="1"/>
    <col min="23" max="38" width="5.7109375" style="0" customWidth="1"/>
    <col min="39" max="48" width="11.421875" style="0" customWidth="1"/>
  </cols>
  <sheetData>
    <row r="1" spans="1:48" ht="12.75" customHeight="1">
      <c r="A1" s="1"/>
      <c r="B1" s="1"/>
      <c r="C1" s="159" t="s">
        <v>0</v>
      </c>
      <c r="D1" s="143"/>
      <c r="E1" s="158"/>
      <c r="F1" s="143"/>
      <c r="G1" s="159" t="s">
        <v>1</v>
      </c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3"/>
      <c r="S1" s="3"/>
      <c r="T1" s="4"/>
      <c r="U1" s="4" t="s">
        <v>2</v>
      </c>
      <c r="V1" s="4" t="s">
        <v>3</v>
      </c>
      <c r="W1" s="157" t="s">
        <v>4</v>
      </c>
      <c r="X1" s="142"/>
      <c r="Y1" s="142"/>
      <c r="Z1" s="143"/>
      <c r="AA1" s="156" t="s">
        <v>5</v>
      </c>
      <c r="AB1" s="142"/>
      <c r="AC1" s="143"/>
      <c r="AD1" s="156" t="s">
        <v>6</v>
      </c>
      <c r="AE1" s="142"/>
      <c r="AF1" s="143"/>
      <c r="AG1" s="156" t="s">
        <v>7</v>
      </c>
      <c r="AH1" s="142"/>
      <c r="AI1" s="142"/>
      <c r="AJ1" s="142"/>
      <c r="AK1" s="142"/>
      <c r="AL1" s="143"/>
      <c r="AM1" s="5"/>
      <c r="AN1" s="6"/>
      <c r="AO1" s="6"/>
      <c r="AP1" s="6"/>
      <c r="AQ1" s="6"/>
      <c r="AR1" s="6"/>
      <c r="AS1" s="6"/>
      <c r="AT1" s="6"/>
      <c r="AU1" s="6"/>
      <c r="AV1" s="6"/>
    </row>
    <row r="2" spans="1:48" ht="12.75" customHeight="1">
      <c r="A2" s="7" t="s">
        <v>8</v>
      </c>
      <c r="B2" s="7" t="s">
        <v>9</v>
      </c>
      <c r="C2" s="7" t="s">
        <v>10</v>
      </c>
      <c r="D2" s="7" t="s">
        <v>11</v>
      </c>
      <c r="E2" s="159" t="s">
        <v>5</v>
      </c>
      <c r="F2" s="143"/>
      <c r="G2" s="160">
        <v>1</v>
      </c>
      <c r="H2" s="143"/>
      <c r="I2" s="159">
        <v>2</v>
      </c>
      <c r="J2" s="143"/>
      <c r="K2" s="160">
        <v>3</v>
      </c>
      <c r="L2" s="143"/>
      <c r="M2" s="159">
        <v>4</v>
      </c>
      <c r="N2" s="143"/>
      <c r="O2" s="160">
        <v>5</v>
      </c>
      <c r="P2" s="143"/>
      <c r="Q2" s="159" t="s">
        <v>12</v>
      </c>
      <c r="R2" s="143"/>
      <c r="S2" s="3"/>
      <c r="T2" s="4" t="s">
        <v>13</v>
      </c>
      <c r="U2" s="4" t="s">
        <v>14</v>
      </c>
      <c r="V2" s="4" t="s">
        <v>6</v>
      </c>
      <c r="W2" s="8" t="s">
        <v>12</v>
      </c>
      <c r="X2" s="9" t="s">
        <v>15</v>
      </c>
      <c r="Y2" s="9" t="s">
        <v>16</v>
      </c>
      <c r="Z2" s="4" t="s">
        <v>17</v>
      </c>
      <c r="AA2" s="4" t="s">
        <v>15</v>
      </c>
      <c r="AB2" s="4" t="s">
        <v>16</v>
      </c>
      <c r="AC2" s="4" t="s">
        <v>18</v>
      </c>
      <c r="AD2" s="4" t="s">
        <v>15</v>
      </c>
      <c r="AE2" s="4" t="s">
        <v>16</v>
      </c>
      <c r="AF2" s="4" t="s">
        <v>18</v>
      </c>
      <c r="AG2" s="10" t="s">
        <v>19</v>
      </c>
      <c r="AH2" s="10" t="s">
        <v>20</v>
      </c>
      <c r="AI2" s="10" t="s">
        <v>21</v>
      </c>
      <c r="AJ2" s="10" t="s">
        <v>22</v>
      </c>
      <c r="AK2" s="10" t="s">
        <v>23</v>
      </c>
      <c r="AL2" s="10" t="s">
        <v>24</v>
      </c>
      <c r="AM2" s="5"/>
      <c r="AN2" s="6"/>
      <c r="AO2" s="6"/>
      <c r="AP2" s="6"/>
      <c r="AQ2" s="6"/>
      <c r="AR2" s="6"/>
      <c r="AS2" s="6"/>
      <c r="AT2" s="6"/>
      <c r="AU2" s="6"/>
      <c r="AV2" s="6"/>
    </row>
    <row r="3" spans="1:48" ht="12.75" customHeight="1">
      <c r="A3" s="7" t="s">
        <v>25</v>
      </c>
      <c r="B3" s="7" t="s">
        <v>26</v>
      </c>
      <c r="C3" s="11" t="s">
        <v>27</v>
      </c>
      <c r="D3" s="7" t="s">
        <v>28</v>
      </c>
      <c r="E3" s="12">
        <v>2</v>
      </c>
      <c r="F3" s="12">
        <v>3</v>
      </c>
      <c r="G3" s="12">
        <v>25</v>
      </c>
      <c r="H3" s="12">
        <v>12</v>
      </c>
      <c r="I3" s="12">
        <v>22</v>
      </c>
      <c r="J3" s="12">
        <v>25</v>
      </c>
      <c r="K3" s="12">
        <v>23</v>
      </c>
      <c r="L3" s="12">
        <v>25</v>
      </c>
      <c r="M3" s="12">
        <v>25</v>
      </c>
      <c r="N3" s="12">
        <v>23</v>
      </c>
      <c r="O3" s="12">
        <v>6</v>
      </c>
      <c r="P3" s="12">
        <v>15</v>
      </c>
      <c r="Q3" s="12">
        <v>101</v>
      </c>
      <c r="R3" s="12">
        <v>100</v>
      </c>
      <c r="S3" s="5"/>
      <c r="T3" s="7">
        <v>1</v>
      </c>
      <c r="U3" s="7" t="s">
        <v>28</v>
      </c>
      <c r="V3" s="2">
        <f>AG3*3+AH3*3+AI3*2+AJ3*1</f>
        <v>2</v>
      </c>
      <c r="W3" s="1">
        <f>X3+Y3+Z3</f>
        <v>1</v>
      </c>
      <c r="X3" s="13">
        <f>COUNTIF($F$3,"=3")</f>
        <v>1</v>
      </c>
      <c r="Y3" s="13">
        <f>SUM(IF($F$3&lt;$E$3,1,0))</f>
        <v>0</v>
      </c>
      <c r="Z3" s="14"/>
      <c r="AA3" s="13">
        <f>$F$3</f>
        <v>3</v>
      </c>
      <c r="AB3" s="13">
        <f>$E$3</f>
        <v>2</v>
      </c>
      <c r="AC3" s="1">
        <f>IF(AB3=0,"MAX",AA3/AB3)</f>
        <v>1.5</v>
      </c>
      <c r="AD3" s="13">
        <f>$R$3</f>
        <v>100</v>
      </c>
      <c r="AE3" s="13">
        <f>$Q$3</f>
        <v>101</v>
      </c>
      <c r="AF3" s="1">
        <f>IF(AE3=0,"MAX",AD3/AE3)</f>
        <v>0.9900990099009901</v>
      </c>
      <c r="AG3" s="15">
        <f>SUM(IF(AND($F$3=3,$E$3=0),1,0))</f>
        <v>0</v>
      </c>
      <c r="AH3" s="15">
        <f>SUM(IF(AND($F$3=3,$E$3=1),1,0))</f>
        <v>0</v>
      </c>
      <c r="AI3" s="15">
        <f>SUM(IF(AND($F$3=3,$E$3=2),1,0))</f>
        <v>1</v>
      </c>
      <c r="AJ3" s="15">
        <f>SUM(IF(AND($F$3=2,$E$3=3),1,0))</f>
        <v>0</v>
      </c>
      <c r="AK3" s="15">
        <f>SUM(IF(AND($F$3=1,$E$3=3),1,0))</f>
        <v>0</v>
      </c>
      <c r="AL3" s="15">
        <f>SUM(IF(AND($F$3=0,$E$3=3),1,0))</f>
        <v>0</v>
      </c>
      <c r="AM3" s="5"/>
      <c r="AN3" s="6"/>
      <c r="AO3" s="6"/>
      <c r="AP3" s="6"/>
      <c r="AQ3" s="6"/>
      <c r="AR3" s="6"/>
      <c r="AS3" s="6"/>
      <c r="AT3" s="6"/>
      <c r="AU3" s="6"/>
      <c r="AV3" s="6"/>
    </row>
    <row r="4" spans="1:48" ht="12.75" customHeight="1">
      <c r="A4" s="3"/>
      <c r="B4" s="3"/>
      <c r="C4" s="5"/>
      <c r="D4" s="5"/>
      <c r="E4" s="16"/>
      <c r="F4" s="3"/>
      <c r="G4" s="5"/>
      <c r="H4" s="3"/>
      <c r="I4" s="3"/>
      <c r="J4" s="3"/>
      <c r="K4" s="17"/>
      <c r="L4" s="5"/>
      <c r="M4" s="5"/>
      <c r="N4" s="5"/>
      <c r="O4" s="5"/>
      <c r="P4" s="5"/>
      <c r="Q4" s="5"/>
      <c r="R4" s="5"/>
      <c r="S4" s="5"/>
      <c r="T4" s="7">
        <v>2</v>
      </c>
      <c r="U4" s="7" t="s">
        <v>27</v>
      </c>
      <c r="V4" s="2">
        <f>AG4*3+AH4*3+AI4*2+AJ4*1</f>
        <v>1</v>
      </c>
      <c r="W4" s="1">
        <f>X4+Y4+Z4</f>
        <v>1</v>
      </c>
      <c r="X4" s="13">
        <f>COUNTIF($E$3,"=3")</f>
        <v>0</v>
      </c>
      <c r="Y4" s="13">
        <f>SUM(IF($E$3&lt;$F$3,1,0))</f>
        <v>1</v>
      </c>
      <c r="Z4" s="18"/>
      <c r="AA4" s="13">
        <f>$E$3</f>
        <v>2</v>
      </c>
      <c r="AB4" s="13">
        <f>$F$3</f>
        <v>3</v>
      </c>
      <c r="AC4" s="1">
        <f>IF(AB4=0,"MAX",AA4/AB4)</f>
        <v>0.6666666666666666</v>
      </c>
      <c r="AD4" s="13">
        <f>$Q$3</f>
        <v>101</v>
      </c>
      <c r="AE4" s="13">
        <f>$R$3</f>
        <v>100</v>
      </c>
      <c r="AF4" s="1">
        <f>IF(AE4=0,"MAX",AD4/AE4)</f>
        <v>1.01</v>
      </c>
      <c r="AG4" s="15">
        <f>SUM(IF(AND($E$3=3,$F$3=0),1,0))</f>
        <v>0</v>
      </c>
      <c r="AH4" s="15">
        <f>SUM(IF(AND($E$3=3,$F$3=1),1,0))</f>
        <v>0</v>
      </c>
      <c r="AI4" s="15">
        <f>SUM(IF(AND($E$3=3,$F$3=2),1,0))</f>
        <v>0</v>
      </c>
      <c r="AJ4" s="15">
        <f>SUM(IF(AND($E$3=2,$F$3=3),1,0))</f>
        <v>1</v>
      </c>
      <c r="AK4" s="15">
        <f>SUM(IF(AND($E$3=1,$F$3=3),1,0))</f>
        <v>0</v>
      </c>
      <c r="AL4" s="15">
        <f>SUM(IF(AND($E$3=0,$F$3=3),1,0))</f>
        <v>0</v>
      </c>
      <c r="AM4" s="5"/>
      <c r="AN4" s="6"/>
      <c r="AO4" s="6"/>
      <c r="AP4" s="6"/>
      <c r="AQ4" s="6"/>
      <c r="AR4" s="6"/>
      <c r="AS4" s="6"/>
      <c r="AT4" s="6"/>
      <c r="AU4" s="6"/>
      <c r="AV4" s="6"/>
    </row>
    <row r="5" spans="1:48" ht="12.75" customHeight="1">
      <c r="A5" s="3"/>
      <c r="B5" s="3"/>
      <c r="C5" s="5"/>
      <c r="D5" s="5"/>
      <c r="E5" s="16"/>
      <c r="F5" s="3"/>
      <c r="G5" s="5"/>
      <c r="H5" s="3"/>
      <c r="I5" s="3"/>
      <c r="J5" s="3"/>
      <c r="K5" s="17"/>
      <c r="L5" s="5"/>
      <c r="M5" s="5"/>
      <c r="N5" s="5"/>
      <c r="O5" s="5"/>
      <c r="P5" s="5"/>
      <c r="Q5" s="5"/>
      <c r="R5" s="5"/>
      <c r="S5" s="5"/>
      <c r="T5" s="19"/>
      <c r="V5" s="19"/>
      <c r="W5" s="3"/>
      <c r="X5" s="3"/>
      <c r="Y5" s="3"/>
      <c r="Z5" s="3"/>
      <c r="AA5" s="3"/>
      <c r="AB5" s="3"/>
      <c r="AC5" s="3"/>
      <c r="AD5" s="3"/>
      <c r="AE5" s="3"/>
      <c r="AF5" s="3"/>
      <c r="AG5" s="5"/>
      <c r="AH5" s="5"/>
      <c r="AI5" s="5"/>
      <c r="AJ5" s="5"/>
      <c r="AK5" s="5"/>
      <c r="AL5" s="5"/>
      <c r="AM5" s="5"/>
      <c r="AN5" s="6"/>
      <c r="AO5" s="6"/>
      <c r="AP5" s="6"/>
      <c r="AQ5" s="6"/>
      <c r="AR5" s="6"/>
      <c r="AS5" s="6"/>
      <c r="AT5" s="6"/>
      <c r="AU5" s="6"/>
      <c r="AV5" s="6"/>
    </row>
    <row r="6" spans="1:48" ht="12.75" customHeight="1">
      <c r="A6" s="3"/>
      <c r="B6" s="3"/>
      <c r="C6" s="5"/>
      <c r="D6" s="5"/>
      <c r="E6" s="16"/>
      <c r="F6" s="3"/>
      <c r="G6" s="5"/>
      <c r="H6" s="3"/>
      <c r="I6" s="3"/>
      <c r="J6" s="3"/>
      <c r="K6" s="17"/>
      <c r="L6" s="5"/>
      <c r="M6" s="5"/>
      <c r="N6" s="5"/>
      <c r="O6" s="5"/>
      <c r="P6" s="5"/>
      <c r="Q6" s="5"/>
      <c r="R6" s="5"/>
      <c r="S6" s="5"/>
      <c r="T6" s="19"/>
      <c r="U6" s="19"/>
      <c r="V6" s="19"/>
      <c r="W6" s="3"/>
      <c r="X6" s="3"/>
      <c r="Y6" s="3"/>
      <c r="Z6" s="3"/>
      <c r="AA6" s="3"/>
      <c r="AB6" s="3"/>
      <c r="AC6" s="3"/>
      <c r="AD6" s="3"/>
      <c r="AE6" s="3"/>
      <c r="AF6" s="3"/>
      <c r="AG6" s="5"/>
      <c r="AH6" s="5"/>
      <c r="AI6" s="5"/>
      <c r="AJ6" s="5"/>
      <c r="AK6" s="5"/>
      <c r="AL6" s="5"/>
      <c r="AM6" s="5"/>
      <c r="AN6" s="6"/>
      <c r="AO6" s="6"/>
      <c r="AP6" s="6"/>
      <c r="AQ6" s="6"/>
      <c r="AR6" s="6"/>
      <c r="AS6" s="6"/>
      <c r="AT6" s="6"/>
      <c r="AU6" s="6"/>
      <c r="AV6" s="6"/>
    </row>
    <row r="7" spans="1:48" ht="12.75" customHeight="1">
      <c r="A7" s="3"/>
      <c r="B7" s="3"/>
      <c r="C7" s="5"/>
      <c r="D7" s="5"/>
      <c r="E7" s="16"/>
      <c r="F7" s="3"/>
      <c r="G7" s="5"/>
      <c r="H7" s="3"/>
      <c r="I7" s="3"/>
      <c r="J7" s="3"/>
      <c r="K7" s="17"/>
      <c r="L7" s="5"/>
      <c r="M7" s="5"/>
      <c r="N7" s="5"/>
      <c r="O7" s="5"/>
      <c r="P7" s="5"/>
      <c r="Q7" s="5"/>
      <c r="R7" s="5"/>
      <c r="S7" s="5"/>
      <c r="T7" s="3"/>
      <c r="U7" s="4" t="s">
        <v>29</v>
      </c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5"/>
      <c r="AH7" s="5"/>
      <c r="AI7" s="5"/>
      <c r="AJ7" s="5"/>
      <c r="AK7" s="5"/>
      <c r="AL7" s="5"/>
      <c r="AM7" s="5"/>
      <c r="AN7" s="6"/>
      <c r="AO7" s="6"/>
      <c r="AP7" s="6"/>
      <c r="AQ7" s="6"/>
      <c r="AR7" s="6"/>
      <c r="AS7" s="6"/>
      <c r="AT7" s="6"/>
      <c r="AU7" s="6"/>
      <c r="AV7" s="6"/>
    </row>
    <row r="8" spans="1:48" ht="12.75" customHeight="1">
      <c r="A8" s="3"/>
      <c r="B8" s="3"/>
      <c r="C8" s="5"/>
      <c r="D8" s="5"/>
      <c r="E8" s="16"/>
      <c r="F8" s="3"/>
      <c r="G8" s="5"/>
      <c r="H8" s="3"/>
      <c r="I8" s="3"/>
      <c r="J8" s="3"/>
      <c r="K8" s="17"/>
      <c r="L8" s="5"/>
      <c r="M8" s="5"/>
      <c r="N8" s="5"/>
      <c r="O8" s="5"/>
      <c r="P8" s="5"/>
      <c r="Q8" s="5"/>
      <c r="R8" s="5"/>
      <c r="S8" s="5"/>
      <c r="T8" s="3"/>
      <c r="U8" s="7" t="s">
        <v>28</v>
      </c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5"/>
      <c r="AH8" s="5"/>
      <c r="AI8" s="5"/>
      <c r="AJ8" s="5"/>
      <c r="AK8" s="5"/>
      <c r="AL8" s="5"/>
      <c r="AM8" s="5"/>
      <c r="AN8" s="6"/>
      <c r="AO8" s="6"/>
      <c r="AP8" s="6"/>
      <c r="AQ8" s="6"/>
      <c r="AR8" s="6"/>
      <c r="AS8" s="6"/>
      <c r="AT8" s="6"/>
      <c r="AU8" s="6"/>
      <c r="AV8" s="6"/>
    </row>
    <row r="9" spans="1:48" ht="12.75" customHeight="1">
      <c r="A9" s="3"/>
      <c r="B9" s="3"/>
      <c r="C9" s="5"/>
      <c r="D9" s="5"/>
      <c r="E9" s="16"/>
      <c r="F9" s="3"/>
      <c r="G9" s="5"/>
      <c r="H9" s="3"/>
      <c r="I9" s="3"/>
      <c r="J9" s="3"/>
      <c r="K9" s="17"/>
      <c r="L9" s="5"/>
      <c r="M9" s="5"/>
      <c r="N9" s="5"/>
      <c r="O9" s="5"/>
      <c r="P9" s="5"/>
      <c r="Q9" s="5"/>
      <c r="R9" s="5"/>
      <c r="S9" s="5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5"/>
      <c r="AH9" s="5"/>
      <c r="AI9" s="5"/>
      <c r="AJ9" s="5"/>
      <c r="AK9" s="5"/>
      <c r="AL9" s="5"/>
      <c r="AM9" s="5"/>
      <c r="AN9" s="6"/>
      <c r="AO9" s="6"/>
      <c r="AP9" s="6"/>
      <c r="AQ9" s="6"/>
      <c r="AR9" s="6"/>
      <c r="AS9" s="6"/>
      <c r="AT9" s="6"/>
      <c r="AU9" s="6"/>
      <c r="AV9" s="6"/>
    </row>
    <row r="10" spans="1:48" ht="12.75" customHeight="1">
      <c r="A10" s="3"/>
      <c r="B10" s="3"/>
      <c r="C10" s="5"/>
      <c r="D10" s="5"/>
      <c r="E10" s="16"/>
      <c r="F10" s="3"/>
      <c r="G10" s="5"/>
      <c r="H10" s="3"/>
      <c r="I10" s="3"/>
      <c r="J10" s="3"/>
      <c r="K10" s="17"/>
      <c r="L10" s="5"/>
      <c r="M10" s="5"/>
      <c r="N10" s="5"/>
      <c r="O10" s="5"/>
      <c r="P10" s="5"/>
      <c r="Q10" s="5"/>
      <c r="R10" s="5"/>
      <c r="S10" s="5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5"/>
      <c r="AH10" s="5"/>
      <c r="AI10" s="5"/>
      <c r="AJ10" s="5"/>
      <c r="AK10" s="5"/>
      <c r="AL10" s="5"/>
      <c r="AM10" s="5"/>
      <c r="AN10" s="6"/>
      <c r="AO10" s="6"/>
      <c r="AP10" s="6"/>
      <c r="AQ10" s="6"/>
      <c r="AR10" s="6"/>
      <c r="AS10" s="6"/>
      <c r="AT10" s="6"/>
      <c r="AU10" s="6"/>
      <c r="AV10" s="6"/>
    </row>
    <row r="11" spans="1:48" ht="12.75" customHeight="1">
      <c r="A11" s="3"/>
      <c r="B11" s="3"/>
      <c r="C11" s="5"/>
      <c r="D11" s="5"/>
      <c r="E11" s="16"/>
      <c r="F11" s="3"/>
      <c r="G11" s="5"/>
      <c r="H11" s="3"/>
      <c r="I11" s="3"/>
      <c r="J11" s="3"/>
      <c r="K11" s="17"/>
      <c r="L11" s="5"/>
      <c r="M11" s="5"/>
      <c r="N11" s="5"/>
      <c r="O11" s="5"/>
      <c r="P11" s="5"/>
      <c r="Q11" s="5"/>
      <c r="R11" s="5"/>
      <c r="S11" s="5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5"/>
      <c r="AH11" s="5"/>
      <c r="AI11" s="5"/>
      <c r="AJ11" s="5"/>
      <c r="AK11" s="5"/>
      <c r="AL11" s="5"/>
      <c r="AM11" s="5"/>
      <c r="AN11" s="6"/>
      <c r="AO11" s="6"/>
      <c r="AP11" s="6"/>
      <c r="AQ11" s="6"/>
      <c r="AR11" s="6"/>
      <c r="AS11" s="6"/>
      <c r="AT11" s="6"/>
      <c r="AU11" s="6"/>
      <c r="AV11" s="6"/>
    </row>
    <row r="12" spans="1:48" ht="12.75" customHeight="1">
      <c r="A12" s="3"/>
      <c r="B12" s="3"/>
      <c r="C12" s="5"/>
      <c r="D12" s="5"/>
      <c r="E12" s="16"/>
      <c r="F12" s="3"/>
      <c r="G12" s="5"/>
      <c r="H12" s="3"/>
      <c r="I12" s="3"/>
      <c r="J12" s="3"/>
      <c r="K12" s="17"/>
      <c r="L12" s="5"/>
      <c r="M12" s="5"/>
      <c r="N12" s="5"/>
      <c r="O12" s="5"/>
      <c r="P12" s="5"/>
      <c r="Q12" s="5"/>
      <c r="R12" s="5"/>
      <c r="S12" s="5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5"/>
      <c r="AH12" s="5"/>
      <c r="AI12" s="5"/>
      <c r="AJ12" s="5"/>
      <c r="AK12" s="5"/>
      <c r="AL12" s="5"/>
      <c r="AM12" s="5"/>
      <c r="AN12" s="6"/>
      <c r="AO12" s="6"/>
      <c r="AP12" s="6"/>
      <c r="AQ12" s="6"/>
      <c r="AR12" s="6"/>
      <c r="AS12" s="6"/>
      <c r="AT12" s="6"/>
      <c r="AU12" s="6"/>
      <c r="AV12" s="6"/>
    </row>
    <row r="13" spans="1:48" ht="12.75" customHeight="1">
      <c r="A13" s="3"/>
      <c r="B13" s="3"/>
      <c r="C13" s="5"/>
      <c r="D13" s="5"/>
      <c r="E13" s="16"/>
      <c r="F13" s="3"/>
      <c r="G13" s="5"/>
      <c r="H13" s="3"/>
      <c r="I13" s="3"/>
      <c r="J13" s="3"/>
      <c r="K13" s="17"/>
      <c r="L13" s="5"/>
      <c r="M13" s="5"/>
      <c r="N13" s="5"/>
      <c r="O13" s="5"/>
      <c r="P13" s="5"/>
      <c r="Q13" s="5"/>
      <c r="R13" s="5"/>
      <c r="S13" s="5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5"/>
      <c r="AH13" s="5"/>
      <c r="AI13" s="5"/>
      <c r="AJ13" s="5"/>
      <c r="AK13" s="5"/>
      <c r="AL13" s="5"/>
      <c r="AM13" s="5"/>
      <c r="AN13" s="6"/>
      <c r="AO13" s="6"/>
      <c r="AP13" s="6"/>
      <c r="AQ13" s="6"/>
      <c r="AR13" s="6"/>
      <c r="AS13" s="6"/>
      <c r="AT13" s="6"/>
      <c r="AU13" s="6"/>
      <c r="AV13" s="6"/>
    </row>
    <row r="14" spans="1:48" ht="12.75" customHeight="1">
      <c r="A14" s="3"/>
      <c r="B14" s="3"/>
      <c r="C14" s="5"/>
      <c r="D14" s="5"/>
      <c r="E14" s="16"/>
      <c r="F14" s="3"/>
      <c r="G14" s="5"/>
      <c r="H14" s="3"/>
      <c r="I14" s="3"/>
      <c r="J14" s="3"/>
      <c r="K14" s="17"/>
      <c r="L14" s="5"/>
      <c r="M14" s="5"/>
      <c r="N14" s="5"/>
      <c r="O14" s="5"/>
      <c r="P14" s="5"/>
      <c r="Q14" s="5"/>
      <c r="R14" s="5"/>
      <c r="S14" s="5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5"/>
      <c r="AH14" s="5"/>
      <c r="AI14" s="5"/>
      <c r="AJ14" s="5"/>
      <c r="AK14" s="5"/>
      <c r="AL14" s="5"/>
      <c r="AM14" s="5"/>
      <c r="AN14" s="6"/>
      <c r="AO14" s="6"/>
      <c r="AP14" s="6"/>
      <c r="AQ14" s="6"/>
      <c r="AR14" s="6"/>
      <c r="AS14" s="6"/>
      <c r="AT14" s="6"/>
      <c r="AU14" s="6"/>
      <c r="AV14" s="6"/>
    </row>
    <row r="15" spans="1:48" ht="12.75" customHeight="1">
      <c r="A15" s="3"/>
      <c r="B15" s="3"/>
      <c r="C15" s="5"/>
      <c r="D15" s="5"/>
      <c r="E15" s="16"/>
      <c r="F15" s="3"/>
      <c r="G15" s="5"/>
      <c r="H15" s="3"/>
      <c r="I15" s="3"/>
      <c r="J15" s="3"/>
      <c r="K15" s="17"/>
      <c r="L15" s="5"/>
      <c r="M15" s="5"/>
      <c r="N15" s="5"/>
      <c r="O15" s="5"/>
      <c r="P15" s="5"/>
      <c r="Q15" s="5"/>
      <c r="R15" s="5"/>
      <c r="S15" s="5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5"/>
      <c r="AH15" s="5"/>
      <c r="AI15" s="5"/>
      <c r="AJ15" s="5"/>
      <c r="AK15" s="5"/>
      <c r="AL15" s="5"/>
      <c r="AM15" s="5"/>
      <c r="AN15" s="6"/>
      <c r="AO15" s="6"/>
      <c r="AP15" s="6"/>
      <c r="AQ15" s="6"/>
      <c r="AR15" s="6"/>
      <c r="AS15" s="6"/>
      <c r="AT15" s="6"/>
      <c r="AU15" s="6"/>
      <c r="AV15" s="6"/>
    </row>
    <row r="16" spans="1:48" ht="12.75" customHeight="1">
      <c r="A16" s="3"/>
      <c r="B16" s="3"/>
      <c r="C16" s="5"/>
      <c r="D16" s="5"/>
      <c r="E16" s="16"/>
      <c r="F16" s="3"/>
      <c r="G16" s="5"/>
      <c r="H16" s="3"/>
      <c r="I16" s="3"/>
      <c r="J16" s="3"/>
      <c r="K16" s="17"/>
      <c r="L16" s="5"/>
      <c r="M16" s="5"/>
      <c r="N16" s="5"/>
      <c r="O16" s="5"/>
      <c r="P16" s="5"/>
      <c r="Q16" s="5"/>
      <c r="R16" s="5"/>
      <c r="S16" s="5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5"/>
      <c r="AH16" s="5"/>
      <c r="AI16" s="5"/>
      <c r="AJ16" s="5"/>
      <c r="AK16" s="5"/>
      <c r="AL16" s="5"/>
      <c r="AM16" s="5"/>
      <c r="AN16" s="6"/>
      <c r="AO16" s="6"/>
      <c r="AP16" s="6"/>
      <c r="AQ16" s="6"/>
      <c r="AR16" s="6"/>
      <c r="AS16" s="6"/>
      <c r="AT16" s="6"/>
      <c r="AU16" s="6"/>
      <c r="AV16" s="6"/>
    </row>
    <row r="17" spans="1:48" ht="12.75" customHeight="1">
      <c r="A17" s="3"/>
      <c r="B17" s="3"/>
      <c r="C17" s="5"/>
      <c r="D17" s="5"/>
      <c r="E17" s="16"/>
      <c r="F17" s="3"/>
      <c r="G17" s="5"/>
      <c r="H17" s="3"/>
      <c r="I17" s="3"/>
      <c r="J17" s="3"/>
      <c r="K17" s="17"/>
      <c r="L17" s="5"/>
      <c r="M17" s="5"/>
      <c r="N17" s="5"/>
      <c r="O17" s="5"/>
      <c r="P17" s="5"/>
      <c r="Q17" s="5"/>
      <c r="R17" s="5"/>
      <c r="S17" s="20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5"/>
      <c r="AH17" s="5"/>
      <c r="AI17" s="5"/>
      <c r="AJ17" s="5"/>
      <c r="AK17" s="5"/>
      <c r="AL17" s="5"/>
      <c r="AM17" s="5"/>
      <c r="AN17" s="6"/>
      <c r="AO17" s="6"/>
      <c r="AP17" s="6"/>
      <c r="AQ17" s="6"/>
      <c r="AR17" s="6"/>
      <c r="AS17" s="6"/>
      <c r="AT17" s="6"/>
      <c r="AU17" s="6"/>
      <c r="AV17" s="6"/>
    </row>
    <row r="18" spans="1:48" ht="12.75" customHeight="1">
      <c r="A18" s="3"/>
      <c r="B18" s="3"/>
      <c r="C18" s="5"/>
      <c r="D18" s="5"/>
      <c r="E18" s="16"/>
      <c r="F18" s="3"/>
      <c r="G18" s="5"/>
      <c r="H18" s="3"/>
      <c r="I18" s="3"/>
      <c r="J18" s="3"/>
      <c r="K18" s="17"/>
      <c r="L18" s="5"/>
      <c r="M18" s="5"/>
      <c r="N18" s="5"/>
      <c r="O18" s="5"/>
      <c r="P18" s="5"/>
      <c r="Q18" s="5"/>
      <c r="R18" s="5"/>
      <c r="S18" s="20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5"/>
      <c r="AH18" s="5"/>
      <c r="AI18" s="5"/>
      <c r="AJ18" s="5"/>
      <c r="AK18" s="5"/>
      <c r="AL18" s="5"/>
      <c r="AM18" s="5"/>
      <c r="AN18" s="6"/>
      <c r="AO18" s="6"/>
      <c r="AP18" s="6"/>
      <c r="AQ18" s="6"/>
      <c r="AR18" s="6"/>
      <c r="AS18" s="6"/>
      <c r="AT18" s="6"/>
      <c r="AU18" s="6"/>
      <c r="AV18" s="6"/>
    </row>
    <row r="19" spans="1:48" ht="12.75" customHeight="1">
      <c r="A19" s="3"/>
      <c r="B19" s="3"/>
      <c r="C19" s="5"/>
      <c r="D19" s="5"/>
      <c r="E19" s="16"/>
      <c r="F19" s="3"/>
      <c r="G19" s="5"/>
      <c r="H19" s="3"/>
      <c r="I19" s="3"/>
      <c r="J19" s="3"/>
      <c r="K19" s="17"/>
      <c r="L19" s="5"/>
      <c r="M19" s="5"/>
      <c r="N19" s="5"/>
      <c r="O19" s="5"/>
      <c r="P19" s="5"/>
      <c r="Q19" s="5"/>
      <c r="R19" s="5"/>
      <c r="S19" s="5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5"/>
      <c r="AH19" s="5"/>
      <c r="AI19" s="5"/>
      <c r="AJ19" s="5"/>
      <c r="AK19" s="5"/>
      <c r="AL19" s="5"/>
      <c r="AM19" s="5"/>
      <c r="AN19" s="6"/>
      <c r="AO19" s="6"/>
      <c r="AP19" s="6"/>
      <c r="AQ19" s="6"/>
      <c r="AR19" s="6"/>
      <c r="AS19" s="6"/>
      <c r="AT19" s="6"/>
      <c r="AU19" s="6"/>
      <c r="AV19" s="6"/>
    </row>
    <row r="20" spans="1:48" ht="12.75" customHeight="1">
      <c r="A20" s="3"/>
      <c r="B20" s="3"/>
      <c r="C20" s="5"/>
      <c r="D20" s="5"/>
      <c r="E20" s="16"/>
      <c r="F20" s="3"/>
      <c r="G20" s="5"/>
      <c r="H20" s="3"/>
      <c r="I20" s="3"/>
      <c r="J20" s="3"/>
      <c r="K20" s="17"/>
      <c r="L20" s="5"/>
      <c r="M20" s="5"/>
      <c r="N20" s="5"/>
      <c r="O20" s="5"/>
      <c r="P20" s="5"/>
      <c r="Q20" s="5"/>
      <c r="R20" s="5"/>
      <c r="S20" s="5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5"/>
      <c r="AH20" s="5"/>
      <c r="AI20" s="5"/>
      <c r="AJ20" s="5"/>
      <c r="AK20" s="5"/>
      <c r="AL20" s="5"/>
      <c r="AM20" s="5"/>
      <c r="AN20" s="6"/>
      <c r="AO20" s="6"/>
      <c r="AP20" s="6"/>
      <c r="AQ20" s="6"/>
      <c r="AR20" s="6"/>
      <c r="AS20" s="6"/>
      <c r="AT20" s="6"/>
      <c r="AU20" s="6"/>
      <c r="AV20" s="6"/>
    </row>
    <row r="21" spans="1:48" ht="12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3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</row>
    <row r="22" spans="1:48" ht="12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</row>
  </sheetData>
  <sheetProtection/>
  <mergeCells count="14">
    <mergeCell ref="AA1:AC1"/>
    <mergeCell ref="AG1:AL1"/>
    <mergeCell ref="AD1:AF1"/>
    <mergeCell ref="M2:N2"/>
    <mergeCell ref="K2:L2"/>
    <mergeCell ref="O2:P2"/>
    <mergeCell ref="Q2:R2"/>
    <mergeCell ref="W1:Z1"/>
    <mergeCell ref="G1:R1"/>
    <mergeCell ref="C1:D1"/>
    <mergeCell ref="E1:F1"/>
    <mergeCell ref="G2:H2"/>
    <mergeCell ref="E2:F2"/>
    <mergeCell ref="I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33"/>
  <sheetViews>
    <sheetView showGridLines="0" zoomScalePageLayoutView="0" workbookViewId="0" topLeftCell="A1">
      <selection activeCell="A1" sqref="A1"/>
    </sheetView>
  </sheetViews>
  <sheetFormatPr defaultColWidth="14.421875" defaultRowHeight="15" customHeight="1"/>
  <cols>
    <col min="1" max="1" width="7.28125" style="0" customWidth="1"/>
    <col min="2" max="2" width="11.7109375" style="0" customWidth="1"/>
    <col min="3" max="4" width="21.7109375" style="0" customWidth="1"/>
    <col min="5" max="18" width="5.7109375" style="0" customWidth="1"/>
    <col min="19" max="19" width="4.140625" style="0" customWidth="1"/>
    <col min="20" max="20" width="2.00390625" style="0" customWidth="1"/>
    <col min="21" max="21" width="21.7109375" style="0" customWidth="1"/>
    <col min="22" max="22" width="7.8515625" style="0" customWidth="1"/>
    <col min="23" max="23" width="5.00390625" style="0" customWidth="1"/>
    <col min="24" max="24" width="4.7109375" style="0" customWidth="1"/>
    <col min="25" max="25" width="4.421875" style="0" customWidth="1"/>
    <col min="26" max="26" width="4.8515625" style="0" customWidth="1"/>
    <col min="27" max="27" width="4.7109375" style="0" customWidth="1"/>
    <col min="28" max="28" width="4.421875" style="0" customWidth="1"/>
    <col min="29" max="29" width="5.421875" style="0" customWidth="1"/>
    <col min="30" max="30" width="4.7109375" style="0" customWidth="1"/>
    <col min="31" max="31" width="4.421875" style="0" customWidth="1"/>
    <col min="32" max="32" width="5.140625" style="0" customWidth="1"/>
    <col min="33" max="38" width="3.57421875" style="0" customWidth="1"/>
    <col min="39" max="48" width="11.421875" style="0" customWidth="1"/>
  </cols>
  <sheetData>
    <row r="1" spans="1:48" ht="12.75" customHeight="1">
      <c r="A1" s="1"/>
      <c r="B1" s="1"/>
      <c r="C1" s="159" t="s">
        <v>0</v>
      </c>
      <c r="D1" s="143"/>
      <c r="E1" s="158"/>
      <c r="F1" s="143"/>
      <c r="G1" s="159" t="s">
        <v>118</v>
      </c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3"/>
      <c r="S1" s="3"/>
      <c r="T1" s="4"/>
      <c r="U1" s="4" t="s">
        <v>3</v>
      </c>
      <c r="V1" s="4" t="s">
        <v>3</v>
      </c>
      <c r="W1" s="157" t="s">
        <v>4</v>
      </c>
      <c r="X1" s="142"/>
      <c r="Y1" s="142"/>
      <c r="Z1" s="143"/>
      <c r="AA1" s="156" t="s">
        <v>5</v>
      </c>
      <c r="AB1" s="142"/>
      <c r="AC1" s="143"/>
      <c r="AD1" s="156" t="s">
        <v>6</v>
      </c>
      <c r="AE1" s="142"/>
      <c r="AF1" s="143"/>
      <c r="AG1" s="156" t="s">
        <v>7</v>
      </c>
      <c r="AH1" s="142"/>
      <c r="AI1" s="142"/>
      <c r="AJ1" s="142"/>
      <c r="AK1" s="142"/>
      <c r="AL1" s="143"/>
      <c r="AM1" s="5"/>
      <c r="AN1" s="6"/>
      <c r="AO1" s="6"/>
      <c r="AP1" s="6"/>
      <c r="AQ1" s="6"/>
      <c r="AR1" s="6"/>
      <c r="AS1" s="6"/>
      <c r="AT1" s="6"/>
      <c r="AU1" s="6"/>
      <c r="AV1" s="6"/>
    </row>
    <row r="2" spans="1:48" ht="12.75" customHeight="1">
      <c r="A2" s="7" t="s">
        <v>8</v>
      </c>
      <c r="B2" s="7" t="s">
        <v>9</v>
      </c>
      <c r="C2" s="7" t="s">
        <v>10</v>
      </c>
      <c r="D2" s="7" t="s">
        <v>11</v>
      </c>
      <c r="E2" s="159" t="s">
        <v>5</v>
      </c>
      <c r="F2" s="143"/>
      <c r="G2" s="160">
        <v>1</v>
      </c>
      <c r="H2" s="143"/>
      <c r="I2" s="159">
        <v>2</v>
      </c>
      <c r="J2" s="143"/>
      <c r="K2" s="160">
        <v>3</v>
      </c>
      <c r="L2" s="143"/>
      <c r="M2" s="159">
        <v>4</v>
      </c>
      <c r="N2" s="143"/>
      <c r="O2" s="160">
        <v>5</v>
      </c>
      <c r="P2" s="143"/>
      <c r="Q2" s="159" t="s">
        <v>12</v>
      </c>
      <c r="R2" s="143"/>
      <c r="S2" s="3"/>
      <c r="T2" s="4" t="s">
        <v>13</v>
      </c>
      <c r="U2" s="4" t="s">
        <v>14</v>
      </c>
      <c r="V2" s="4" t="s">
        <v>6</v>
      </c>
      <c r="W2" s="8" t="s">
        <v>12</v>
      </c>
      <c r="X2" s="9" t="s">
        <v>15</v>
      </c>
      <c r="Y2" s="9" t="s">
        <v>16</v>
      </c>
      <c r="Z2" s="4" t="s">
        <v>17</v>
      </c>
      <c r="AA2" s="9" t="s">
        <v>15</v>
      </c>
      <c r="AB2" s="4" t="s">
        <v>16</v>
      </c>
      <c r="AC2" s="113" t="s">
        <v>18</v>
      </c>
      <c r="AD2" s="9" t="s">
        <v>15</v>
      </c>
      <c r="AE2" s="4" t="s">
        <v>16</v>
      </c>
      <c r="AF2" s="21" t="s">
        <v>18</v>
      </c>
      <c r="AG2" s="114" t="s">
        <v>19</v>
      </c>
      <c r="AH2" s="114" t="s">
        <v>20</v>
      </c>
      <c r="AI2" s="114" t="s">
        <v>21</v>
      </c>
      <c r="AJ2" s="114" t="s">
        <v>22</v>
      </c>
      <c r="AK2" s="114" t="s">
        <v>23</v>
      </c>
      <c r="AL2" s="114" t="s">
        <v>24</v>
      </c>
      <c r="AM2" s="5"/>
      <c r="AN2" s="6"/>
      <c r="AO2" s="6"/>
      <c r="AP2" s="6"/>
      <c r="AQ2" s="6"/>
      <c r="AR2" s="6"/>
      <c r="AS2" s="6"/>
      <c r="AT2" s="6"/>
      <c r="AU2" s="6"/>
      <c r="AV2" s="6"/>
    </row>
    <row r="3" spans="1:48" ht="12.75" customHeight="1">
      <c r="A3" s="1" t="s">
        <v>119</v>
      </c>
      <c r="B3" s="1" t="s">
        <v>32</v>
      </c>
      <c r="C3" s="7" t="s">
        <v>120</v>
      </c>
      <c r="D3" s="77" t="s">
        <v>41</v>
      </c>
      <c r="E3" s="1">
        <v>3</v>
      </c>
      <c r="F3" s="1">
        <v>0</v>
      </c>
      <c r="G3" s="1">
        <v>25</v>
      </c>
      <c r="H3" s="1">
        <v>14</v>
      </c>
      <c r="I3" s="1">
        <v>25</v>
      </c>
      <c r="J3" s="1">
        <v>23</v>
      </c>
      <c r="K3" s="1">
        <v>25</v>
      </c>
      <c r="L3" s="1">
        <v>17</v>
      </c>
      <c r="M3" s="1">
        <v>0</v>
      </c>
      <c r="N3" s="1">
        <v>0</v>
      </c>
      <c r="O3" s="1">
        <v>0</v>
      </c>
      <c r="P3" s="1">
        <v>0</v>
      </c>
      <c r="Q3" s="1">
        <f>G3+I3+K3+M3+O3</f>
        <v>75</v>
      </c>
      <c r="R3" s="1">
        <f>H3+J3+L3+N3+P3</f>
        <v>54</v>
      </c>
      <c r="S3" s="5"/>
      <c r="T3" s="7">
        <v>1</v>
      </c>
      <c r="U3" s="7" t="s">
        <v>120</v>
      </c>
      <c r="V3" s="2">
        <f>AG3*3+AH3*3+AI3*2+AJ3*1</f>
        <v>21</v>
      </c>
      <c r="W3" s="1">
        <f>X3+Y3+Z3</f>
        <v>8</v>
      </c>
      <c r="X3" s="13">
        <f>COUNTIF($E$3,"=3")+COUNTIF($F$5,"=3")+COUNTIF($F$7,"=3")+COUNTIF($E$9,"=3")+COUNTIF($F$13,"=3")+COUNTIF($E$15,"=3")+COUNTIF($E$17,"=3")+COUNTIF($F$19,"=3")+COUNTIF($F$23,"=3")</f>
        <v>7</v>
      </c>
      <c r="Y3" s="13">
        <f>SUM(IF($E$3&lt;$F$3,1,0))+SUM(IF($F$5&lt;$E$5,1,0))+SUM(IF($F$7&lt;$E$7,1,0))+SUM(IF($E$9&lt;$F$9,1,0))+SUM(IF($F$13&lt;$E$13,1,0))+SUM(IF($E$15&lt;$F$15,1,0))+SUM(IF($E$17&lt;$F$17,1,0))+SUM(IF($F$19&lt;$E$19,1,0))+SUM(IF($F$23&lt;$E$23,1,0))</f>
        <v>1</v>
      </c>
      <c r="Z3" s="18"/>
      <c r="AA3" s="13">
        <f>$E$3+$F$5+$F$7+$E$9+$F$13+$E$15+$E$17+$F$19+$F$23</f>
        <v>21</v>
      </c>
      <c r="AB3" s="13">
        <f>$F$3+$E$5+$E$7+$F$9+$E$13+$F$15+$F$17+$E$19+$E$23</f>
        <v>6</v>
      </c>
      <c r="AC3" s="23">
        <f>IF(AB3=0,"MAX",AA3/AB3)</f>
        <v>3.5</v>
      </c>
      <c r="AD3" s="13">
        <f>$Q$3+$R$5+$R$7+$Q$9+$R$13+$Q$15+$Q$17+$R$19+$R$23</f>
        <v>653</v>
      </c>
      <c r="AE3" s="13">
        <f>$R$3+$Q$5+$Q$7+$R$9+$Q$13+$R$15+$R$17+$Q$19+$Q$23</f>
        <v>499</v>
      </c>
      <c r="AF3" s="23">
        <f>IF(AE3=0,"MAX",AD3/AE3)</f>
        <v>1.308617234468938</v>
      </c>
      <c r="AG3" s="13">
        <f>SUM(IF(AND($E$3=3,$F$3=0),1,0))+SUM(IF(AND($F$5=3,$E$5=0),1,0))+SUM(IF(AND($F$7=3,$E$7=0),1,0))+SUM(IF(AND($E$9=3,$F$9=0),1,0))+SUM(IF(AND($F$13=3,$E$13=0),1,0))+SUM(IF(AND($E$15=3,$F$15=0),1,0))+SUM(IF(AND($E$17=3,$F$17=0),1,0))+SUM(IF(AND($F$19=3,$E$19=0),1,0))+SUM(IF(AND($F$23=3,$E$23=0),1,0))</f>
        <v>4</v>
      </c>
      <c r="AH3" s="13">
        <f>SUM(IF(AND($E$3=3,$F$3=1),1,0))+SUM(IF(AND($F$5=3,$E$5=1),1,0))+SUM(IF(AND($F$7=3,$E$7=1),1,0))+SUM(IF(AND($E$9=3,$F$9=1),1,0))+SUM(IF(AND($F$13=3,$E$13=1),1,0))+SUM(IF(AND($E$15=3,$F$15=1),1,0))+SUM(IF(AND($E$17=3,$F$17=1),1,0))+SUM(IF(AND($F$19=3,$E$19=1),1,0))+SUM(IF(AND($F$23=3,$E$23=1),1,0))</f>
        <v>3</v>
      </c>
      <c r="AI3" s="13">
        <f>SUM(IF(AND($E$3=3,$F$3=2),1,0))+SUM(IF(AND($F$5=3,$E$5=2),1,0))+SUM(IF(AND($F$7=3,$E$7=2),1,0))+SUM(IF(AND($E$9=3,$F$9=2),1,0))+SUM(IF(AND($F$13=3,$E$13=2),1,0))+SUM(IF(AND($E$15=3,$F$15=2),1,0))+SUM(IF(AND($E$17=3,$F$17=2),1,0))+SUM(IF(AND($F$19=3,$E$19=2),1,0))+SUM(IF(AND($F$23=3,$E$23=2),1,0))</f>
        <v>0</v>
      </c>
      <c r="AJ3" s="13">
        <f>SUM(IF(AND($E$3=2,$F$3=3),1,0))+SUM(IF(AND($F$5=2,$E$5=3),1,0))+SUM(IF(AND($F$7=2,$E$7=3),1,0))+SUM(IF(AND($E$9=2,$F$9=3),1,0))+SUM(IF(AND($F$13=2,$E$13=3),1,0))+SUM(IF(AND($E$15=2,$F$15=3),1,0))+SUM(IF(AND($E$17=2,$F$17=3),1,0))+SUM(IF(AND($F$19=2,$E$19=3),1,0))+SUM(IF(AND($F$23=2,$E$23=3),1,0))</f>
        <v>0</v>
      </c>
      <c r="AK3" s="13">
        <f>SUM(IF(AND($E$3=1,$F$3=3),1,0))+SUM(IF(AND($F$5=1,$E$5=3),1,0))+SUM(IF(AND($F$7=1,$E$7=3),1,0))+SUM(IF(AND($E$9=1,$F$9=3),1,0))+SUM(IF(AND($F$13=1,$E$13=3),1,0))+SUM(IF(AND($E$15=1,$F$15=3),1,0))+SUM(IF(AND($E$17=1,$F$17=3),1,0))+SUM(IF(AND($F$19=1,$E$19=3),1,0))+SUM(IF(AND($F$23=1,$E$23=3),1,0))</f>
        <v>0</v>
      </c>
      <c r="AL3" s="13">
        <f>SUM(IF(AND($E$3=0,$F$3=3),1,0))+SUM(IF(AND($F$5=0,$E$5=3),1,0))+SUM(IF(AND($F$7=0,$E$7=3),1,0))+SUM(IF(AND($E$9=0,$F$9=3),1,0))+SUM(IF(AND($F$13=0,$E$13=3),1,0))+SUM(IF(AND($E$15=0,$F$15=3),1,0))+SUM(IF(AND($E$17=0,$F$17=3),1,0))+SUM(IF(AND($F$19=0,$E$19=3),1,0))+SUM(IF(AND($F$23=0,$E$23=3),1,0))</f>
        <v>1</v>
      </c>
      <c r="AM3" s="5"/>
      <c r="AN3" s="6"/>
      <c r="AO3" s="6"/>
      <c r="AP3" s="6"/>
      <c r="AQ3" s="6"/>
      <c r="AR3" s="6"/>
      <c r="AS3" s="6"/>
      <c r="AT3" s="6"/>
      <c r="AU3" s="6"/>
      <c r="AV3" s="6"/>
    </row>
    <row r="4" spans="1:48" ht="12.75" customHeight="1">
      <c r="A4" s="1" t="s">
        <v>121</v>
      </c>
      <c r="B4" s="1" t="s">
        <v>32</v>
      </c>
      <c r="C4" s="77" t="s">
        <v>46</v>
      </c>
      <c r="D4" s="7" t="s">
        <v>35</v>
      </c>
      <c r="E4" s="1">
        <v>3</v>
      </c>
      <c r="F4" s="1">
        <v>0</v>
      </c>
      <c r="G4" s="1">
        <v>25</v>
      </c>
      <c r="H4" s="1">
        <v>19</v>
      </c>
      <c r="I4" s="1">
        <v>25</v>
      </c>
      <c r="J4" s="1">
        <v>22</v>
      </c>
      <c r="K4" s="1">
        <v>25</v>
      </c>
      <c r="L4" s="1">
        <v>14</v>
      </c>
      <c r="M4" s="1">
        <v>0</v>
      </c>
      <c r="N4" s="1">
        <v>0</v>
      </c>
      <c r="O4" s="1">
        <v>0</v>
      </c>
      <c r="P4" s="1">
        <v>0</v>
      </c>
      <c r="Q4" s="1">
        <f>G4+I4+K4+M4+O4</f>
        <v>75</v>
      </c>
      <c r="R4" s="1">
        <f>H4+J4+L4+N4+P4</f>
        <v>55</v>
      </c>
      <c r="S4" s="5"/>
      <c r="T4" s="7">
        <v>2</v>
      </c>
      <c r="U4" s="7" t="s">
        <v>41</v>
      </c>
      <c r="V4" s="2">
        <f>AG4*3+AH4*3+AI4*2+AJ4*1</f>
        <v>16</v>
      </c>
      <c r="W4" s="1">
        <f>X4+Y4+Z4</f>
        <v>9</v>
      </c>
      <c r="X4" s="13">
        <f>COUNTIF($F$3,"=3")+COUNTIF($E$6,"=3")+COUNTIF($E$8,"=3")+COUNTIF($F$11,"=3")+COUNTIF($E$13,"=3")+COUNTIF($F$16,"=3")+COUNTIF($F$18,"=3")+COUNTIF($E$21,"=3")+COUNTIF($E$23,"=3")</f>
        <v>6</v>
      </c>
      <c r="Y4" s="13">
        <f>SUM(IF($F$3&lt;$E$3,1,0))+SUM(IF($E$6&lt;$F$6,1,0))+SUM(IF($E$8&lt;$F$8,1,0))+SUM(IF($F$11&lt;$E$11,1,0))+SUM(IF($E$13&lt;$F$13,1,0))+SUM(IF($F$16&lt;$E$16,1,0))+SUM(IF($F$18&lt;$E$18,1,0))+SUM(IF($E$21&lt;$F$21,1,0))+SUM(IF($E$23&lt;$F$23,1,0))</f>
        <v>3</v>
      </c>
      <c r="Z4" s="18"/>
      <c r="AA4" s="13">
        <f>$F$3+$E$6+$E$8+$F$11+$E$13+$F$16+$F$18+$E$21+$E$23</f>
        <v>20</v>
      </c>
      <c r="AB4" s="13">
        <f>$E$3+$F$6+$F$8+$E$11+$F$13+$E$16+$E$18+$F$21+$F$23</f>
        <v>13</v>
      </c>
      <c r="AC4" s="23">
        <f>IF(AB4=0,"MAX",AA4/AB4)</f>
        <v>1.5384615384615385</v>
      </c>
      <c r="AD4" s="13">
        <f>$R$3+$Q$6+$Q$8+$R$11+$Q$13+$R$16+$R$18+$Q$21+$Q$23</f>
        <v>730</v>
      </c>
      <c r="AE4" s="13">
        <f>$Q$3+$R$6+$R$8+$Q$11+$R$13+$Q$16+$Q$18+$R$21+$R$21</f>
        <v>616</v>
      </c>
      <c r="AF4" s="23">
        <f>IF(AE4=0,"MAX",AD4/AE4)</f>
        <v>1.1850649350649352</v>
      </c>
      <c r="AG4" s="13">
        <f>SUM(IF(AND($F$3=3,$E$3=0),1,0))+SUM(IF(AND($E$6=3,$F$6=0),1,0))+SUM(IF(AND($E$8=3,$F$8=0),1,0))+SUM(IF(AND($F$11=3,$E$11=0),1,0))+SUM(IF(AND($E$13=3,$F$13=0),1,0))+SUM(IF(AND($F$16=3,$E$16=0),1,0))+SUM(IF(AND($F$18=3,$E$18=0),1,0))+SUM(IF(AND($E$21=3,$F$21=0),1,0))+SUM(IF(AND($E$23=3,$F$23=0),1,0))</f>
        <v>4</v>
      </c>
      <c r="AH4" s="13">
        <f>SUM(IF(AND($F$3=3,$E$3=1),1,0))+SUM(IF(AND($E$6=3,$F$6=1),1,0))+SUM(IF(AND($E$8=3,$F$8=1),1,0))+SUM(IF(AND($F$11=3,$E$11=1),1,0))+SUM(IF(AND($E$13=3,$F$13=1),1,0))+SUM(IF(AND($F$16=3,$E$16=1),1,0))+SUM(IF(AND($F$18=3,$E$18=1),1,0))+SUM(IF(AND($E$21=3,$F$21=1),1,0))+SUM(IF(AND($E$23=3,$F$23=1),1,0))</f>
        <v>0</v>
      </c>
      <c r="AI4" s="13">
        <f>SUM(IF(AND($F$3=3,$E$3=2),1,0))+SUM(IF(AND($E$6=3,$F$6=2),1,0))+SUM(IF(AND($E$8=3,$F$8=2),1,0))+SUM(IF(AND($F$11=3,$E$11=2),1,0))+SUM(IF(AND($E$13=3,$F$13=2),1,0))+SUM(IF(AND($F$16=3,$E$16=2),1,0))+SUM(IF(AND($F$18=3,$E$18=2),1,0))+SUM(IF(AND($E$21=3,$F$21=2),1,0))+SUM(IF(AND($E$23=3,$F$23=2),1,0))</f>
        <v>2</v>
      </c>
      <c r="AJ4" s="13">
        <f>SUM(IF(AND($F$3=2,$E$3=3),1,0))+SUM(IF(AND($E$6=2,$F$6=3),1,0))+SUM(IF(AND($E$8=2,$F$8=3),1,0))+SUM(IF(AND($F$11=2,$E$11=3),1,0))+SUM(IF(AND($E$13=2,$F$13=3),1,0))+SUM(IF(AND($F$16=2,$E$16=3),1,0))+SUM(IF(AND($F$18=2,$E$18=3),1,0))+SUM(IF(AND($E$21=2,$F$21=3),1,0))+SUM(IF(AND($E$23=2,$F$23=3),1,0))</f>
        <v>0</v>
      </c>
      <c r="AK4" s="13">
        <f>SUM(IF(AND($F$3=1,$E$3=3),1,0))+SUM(IF(AND($E$6=1,$F$6=3),1,0))+SUM(IF(AND($E$8=1,$F$8=3),1,0))+SUM(IF(AND($F$11=1,$E$11=3),1,0))+SUM(IF(AND($E$13=1,$F$13=3),1,0))+SUM(IF(AND($F$16=1,$E$16=3),1,0))+SUM(IF(AND($F$18=1,$E$18=3),1,0))+SUM(IF(AND($E$21=1,$F$21=3),1,0))+SUM(IF(AND($E$23=1,$F$23=3),1,0))</f>
        <v>2</v>
      </c>
      <c r="AL4" s="13">
        <f>SUM(IF(AND($F$3=0,$E$3=3),1,0))+SUM(IF(AND($E$6=0,$F$6=3),1,0))+SUM(IF(AND($E$8=0,$F$8=3),1,0))+SUM(IF(AND($F$11=0,$E$11=3),1,0))+SUM(IF(AND($E$13=0,$F$13=3),1,0))+SUM(IF(AND($F$16=0,$E$16=3),1,0))+SUM(IF(AND($F$18=0,$E$18=3),1,0))+SUM(IF(AND($E$21=0,$F$21=3),1,0))+SUM(IF(AND($E$23=0,$F$23=3),1,0))</f>
        <v>1</v>
      </c>
      <c r="AM4" s="5"/>
      <c r="AN4" s="6"/>
      <c r="AO4" s="6"/>
      <c r="AP4" s="6"/>
      <c r="AQ4" s="6"/>
      <c r="AR4" s="6"/>
      <c r="AS4" s="6"/>
      <c r="AT4" s="6"/>
      <c r="AU4" s="6"/>
      <c r="AV4" s="6"/>
    </row>
    <row r="5" spans="1:48" ht="12.75" customHeight="1">
      <c r="A5" s="1" t="s">
        <v>122</v>
      </c>
      <c r="B5" s="1" t="s">
        <v>32</v>
      </c>
      <c r="C5" s="7" t="s">
        <v>27</v>
      </c>
      <c r="D5" s="7" t="s">
        <v>120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>
        <f>G5+I5+K5+M5+O5</f>
        <v>0</v>
      </c>
      <c r="R5" s="1">
        <f>H5+J5+L5+N5+P5</f>
        <v>0</v>
      </c>
      <c r="S5" s="5"/>
      <c r="T5" s="7">
        <v>4</v>
      </c>
      <c r="U5" s="7" t="s">
        <v>27</v>
      </c>
      <c r="V5" s="2">
        <f>AG5*3+AH5*3+AI5*2+AJ5*1</f>
        <v>12</v>
      </c>
      <c r="W5" s="1">
        <f>X5+Y5+Z5</f>
        <v>7</v>
      </c>
      <c r="X5" s="13">
        <f>COUNTIF($E$5,"=3")+COUNTIF($F$8,"=3")+COUNTIF($E$10,"=3")+COUNTIF($F$12,"=3")+COUNTIF($F$15,"=3")+COUNTIF($E$18,"=3")+COUNTIF($F$20,"=3")+COUNTIF($E$22,"=3")</f>
        <v>4</v>
      </c>
      <c r="Y5" s="13">
        <f>SUM(IF($E$5&lt;$F$5,1,0))+SUM(IF($F$8&lt;$E$8,1,0))+SUM(IF($E$10&lt;$F$10,1,0))+SUM(IF($F$12&lt;$E$12,1,0))+SUM(IF($F$15&lt;$E$15,1,0))+SUM(IF($E$18&lt;$F$18,1,0))+SUM(IF($F$20&lt;$E$20,1,0))+SUM(IF($E$22&lt;$F$22,1,0))</f>
        <v>3</v>
      </c>
      <c r="Z5" s="18"/>
      <c r="AA5" s="13">
        <f>$E$5+$F$8+$E$10+$F$12+$F$15+$E$18+$F$20+$E$22</f>
        <v>13</v>
      </c>
      <c r="AB5" s="13">
        <f>$F$5+$E$8+$F$10+$E$12+$E$15+$F$18+$E$20+$F$22</f>
        <v>11</v>
      </c>
      <c r="AC5" s="23">
        <f>IF(AB5=0,"MAX",AA5/AB5)</f>
        <v>1.1818181818181819</v>
      </c>
      <c r="AD5" s="13">
        <f>$Q$5+$R$8+$Q$10+$R$12+$R$15+$Q$18+$R$20+$Q$22</f>
        <v>534</v>
      </c>
      <c r="AE5" s="13">
        <f>$R$5+$Q$8+$R$10+$Q$12+$Q$15+$R$18+$Q$20+$R$22</f>
        <v>499</v>
      </c>
      <c r="AF5" s="23">
        <f>IF(AE5=0,"MAX",AD5/AE5)</f>
        <v>1.0701402805611222</v>
      </c>
      <c r="AG5" s="13">
        <f>SUM(IF(AND($E$5=3,$F$5=0),1,0))+SUM(IF(AND($F$8=3,$E$8=0),1,0))+SUM(IF(AND($E$10=3,$F$10=0),1,0))+SUM(IF(AND($F$12=3,$E$12=0),1,0))+SUM(IF(AND($F$15=3,$E$15=0),1,0))+SUM(IF(AND($E$18=3,$F$18=0),1,0))+SUM(IF(AND($F$20=3,$E$20=0),1,0))+SUM(IF(AND($E$22=3,$F$22=0),1,0))</f>
        <v>2</v>
      </c>
      <c r="AH5" s="13">
        <f>SUM(IF(AND($E$5=3,$F$5=1),1,0))+SUM(IF(AND($F$8=3,$E$8=1),1,0))+SUM(IF(AND($E$10=3,$F$10=1),1,0))+SUM(IF(AND($F$12=3,$E$12=1),1,0))+SUM(IF(AND($F$15=3,$E$15=1),1,0))+SUM(IF(AND($E$18=3,$F$18=1),1,0))+SUM(IF(AND($F$20=3,$E$20=1),1,0))+SUM(IF(AND($E$22=3,$F$22=1),1,0))</f>
        <v>2</v>
      </c>
      <c r="AI5" s="13">
        <f>SUM(IF(AND($E$5=3,$F$5=2),1,0))+SUM(IF(AND($F$8=3,$E$8=2),1,0))+SUM(IF(AND($E$10=3,$F$10=2),1,0))+SUM(IF(AND($F$12=3,$E$12=2),1,0))+SUM(IF(AND($F$15=3,$E$15=2),1,0))+SUM(IF(AND($E$18=3,$F$18=2),1,0))+SUM(IF(AND($F$20=3,$E$20=2),1,0))+SUM(IF(AND($E$22=3,$F$22=2),1,0))</f>
        <v>0</v>
      </c>
      <c r="AJ5" s="13">
        <f>SUM(IF(AND($E$5=2,$F$5=3),1,0))+SUM(IF(AND($F$8=2,$E$8=3),1,0))+SUM(IF(AND($E$10=2,$F$10=3),1,0))+SUM(IF(AND($F$12=2,$E$12=3),1,0))+SUM(IF(AND($F$15=2,$E$15=3),1,0))+SUM(IF(AND($E$18=2,$F$18=3),1,0))+SUM(IF(AND($F$20=2,$E$20=3),1,0))+SUM(IF(AND($E$22=2,$F$22=3),1,0))</f>
        <v>0</v>
      </c>
      <c r="AK5" s="13">
        <f>SUM(IF(AND($E$5=1,$F$5=3),1,0))+SUM(IF(AND($F$8=1,$E$8=3),1,0))+SUM(IF(AND($E$10=1,$F$10=3),1,0))+SUM(IF(AND($F$12=1,$E$12=3),1,0))+SUM(IF(AND($F$15=1,$E$15=3),1,0))+SUM(IF(AND($E$18=1,$F$18=3),1,0))+SUM(IF(AND($F$20=1,$E$20=3),1,0))+SUM(IF(AND($E$22=1,$F$22=3),1,0))</f>
        <v>1</v>
      </c>
      <c r="AL5" s="13">
        <f>SUM(IF(AND($E$5=0,$F$5=3),1,0))+SUM(IF(AND($F$8=0,$E$8=3),1,0))+SUM(IF(AND($E$10=0,$F$10=3),1,0))+SUM(IF(AND($F$12=0,$E$12=3),1,0))+SUM(IF(AND($F$15=0,$E$15=3),1,0))+SUM(IF(AND($E$18=0,$F$18=3),1,0))+SUM(IF(AND($F$20=0,$E$20=3),1,0))+SUM(IF(AND($E$22=0,$F$22=3),1,0))</f>
        <v>2</v>
      </c>
      <c r="AM5" s="5"/>
      <c r="AN5" s="6"/>
      <c r="AO5" s="6"/>
      <c r="AP5" s="6"/>
      <c r="AQ5" s="6"/>
      <c r="AR5" s="6"/>
      <c r="AS5" s="6"/>
      <c r="AT5" s="6"/>
      <c r="AU5" s="6"/>
      <c r="AV5" s="6"/>
    </row>
    <row r="6" spans="1:48" ht="12.75" customHeight="1">
      <c r="A6" s="1" t="s">
        <v>123</v>
      </c>
      <c r="B6" s="1" t="s">
        <v>32</v>
      </c>
      <c r="C6" s="77" t="s">
        <v>41</v>
      </c>
      <c r="D6" s="7" t="s">
        <v>46</v>
      </c>
      <c r="E6" s="1">
        <v>3</v>
      </c>
      <c r="F6" s="1">
        <v>2</v>
      </c>
      <c r="G6" s="1">
        <v>25</v>
      </c>
      <c r="H6" s="1">
        <v>18</v>
      </c>
      <c r="I6" s="1">
        <v>25</v>
      </c>
      <c r="J6" s="1">
        <v>18</v>
      </c>
      <c r="K6" s="1">
        <v>12</v>
      </c>
      <c r="L6" s="1">
        <v>25</v>
      </c>
      <c r="M6" s="1">
        <v>24</v>
      </c>
      <c r="N6" s="1">
        <v>26</v>
      </c>
      <c r="O6" s="1">
        <v>16</v>
      </c>
      <c r="P6" s="1">
        <v>14</v>
      </c>
      <c r="Q6" s="1">
        <f>G6+I6+K6+M6+O6</f>
        <v>102</v>
      </c>
      <c r="R6" s="1">
        <f>H6+J6+L6+N6+P6</f>
        <v>101</v>
      </c>
      <c r="S6" s="5"/>
      <c r="T6" s="7">
        <v>3</v>
      </c>
      <c r="U6" s="7" t="s">
        <v>46</v>
      </c>
      <c r="V6" s="2">
        <f>AG6*3+AH6*3+AI6*2+AJ6*1</f>
        <v>14</v>
      </c>
      <c r="W6" s="1">
        <f>X6+Y6+Z6</f>
        <v>9</v>
      </c>
      <c r="X6" s="13">
        <f>COUNTIF($E$4,"=3")+COUNTIF($F$6,"=3")+COUNTIF($F$9,"=3")+COUNTIF($E$12,"=3")+COUNTIF($F$14,"=3")+COUNTIF($E$16,"=3")+COUNTIF($E$19,"=3")+COUNTIF($F$22,"=3")+COUNTIF($F$24,"=3")</f>
        <v>4</v>
      </c>
      <c r="Y6" s="13">
        <f>SUM(IF($E$4&lt;$F$4,1,0))+SUM(IF($F$6&lt;$E$6,1,0))+SUM(IF($F$9&lt;$E$9,1,0))+SUM(IF($E$12&lt;$F$12,1,0))+SUM(IF($F$14&lt;$E$14,1,0))+SUM(IF($E$16&lt;$F$16,1,0))+SUM(IF($E$19&lt;$F$19,1,0))+SUM(IF($F$22&lt;$E$22,1,0))+SUM(IF($F$24&lt;$E$24,1,0))</f>
        <v>5</v>
      </c>
      <c r="Z6" s="18"/>
      <c r="AA6" s="13">
        <f>$E$4+$F$6+$F$9+$E$12+$F$14+$E$16+$E$19+$F$22+$F$24</f>
        <v>17</v>
      </c>
      <c r="AB6" s="13">
        <f>$F$4+$E$6+$E$9+$F$12+$E$14+$F$16+$F$19+$E$22+$E$24</f>
        <v>15</v>
      </c>
      <c r="AC6" s="23">
        <f>IF(AB6=0,"MAX",AA6/AB6)</f>
        <v>1.1333333333333333</v>
      </c>
      <c r="AD6" s="13">
        <f>$Q$4+$R$6+$R$9+$Q$12+$R$14+$Q$16+$Q$19+$R$22+$R$24</f>
        <v>680</v>
      </c>
      <c r="AE6" s="13">
        <f>$R$4+$Q$6+$Q$9+$R$12+$Q$14+$R$16+$R$19+$Q$22+$Q$24</f>
        <v>647</v>
      </c>
      <c r="AF6" s="23">
        <f>IF(AE6=0,"MAX",AD6/AE6)</f>
        <v>1.0510046367851622</v>
      </c>
      <c r="AG6" s="13">
        <f>SUM(IF(AND($E$4=3,$F$4=0),1,0))+SUM(IF(AND($F$6=3,$E$6=0),1,0))+SUM(IF(AND($F$9=3,$E$9=0),1,0))+SUM(IF(AND($E$12=3,$F$12=0),1,0))+SUM(IF(AND($F$14=3,$E$14=0),1,0))+SUM(IF(AND($E$16=3,$F$16=0),1,0))+SUM(IF(AND($E$19=3,$F$19=0),1,0))+SUM(IF(AND($F$22=3,$E$22=0),1,0))+SUM(IF(AND($F$24=3,$E$24=0),1,0))</f>
        <v>4</v>
      </c>
      <c r="AH6" s="13">
        <f>SUM(IF(AND($E$4=3,$F$4=1),1,0))+SUM(IF(AND($F$6=3,$E$6=1),1,0))+SUM(IF(AND($F$9=3,$E$9=1),1,0))+SUM(IF(AND($E$12=3,$F$12=1),1,0))+SUM(IF(AND($F$14=3,$E$14=1),1,0))+SUM(IF(AND($E$16=3,$F$16=0),1,0))+SUM(IF(AND($E$19=3,$F$19=1),1,0))+SUM(IF(AND($F$22=3,$E$22=1),1,0))+SUM(IF(AND($F$24=3,$E$24=1),1,0))</f>
        <v>0</v>
      </c>
      <c r="AI6" s="13">
        <f>SUM(IF(AND($E$4=3,$F$4=2),1,0))+SUM(IF(AND($F$6=3,$E$6=2),1,0))+SUM(IF(AND($F$9=3,$E$9=2),1,0))+SUM(IF(AND($E$12=3,$F$12=2),1,0))+SUM(IF(AND($F$14=3,$E$14=2),1,0))+SUM(IF(AND($E$16=3,$F$16=2),1,0))+SUM(IF(AND($E$19=3,$F$19=2),1,0))+SUM(IF(AND($F$22=3,$E$22=2),1,0))+SUM(IF(AND($F$24=3,$E$24=2),1,0))</f>
        <v>0</v>
      </c>
      <c r="AJ6" s="13">
        <f>SUM(IF(AND($E$4=2,$F$4=3),1,0))+SUM(IF(AND($F$6=2,$E$6=3),1,0))+SUM(IF(AND($F$9=2,$E$9=3),1,0))+SUM(IF(AND($E$12=2,$F$12=3),1,0))+SUM(IF(AND($F$14=2,$E$14=3),1,0))+SUM(IF(AND($E$16=2,$F$16=3),1,0))+SUM(IF(AND($E$19=2,$F$19=3),1,0))+SUM(IF(AND($F$22=2,$E$22=3),1,0))+SUM(IF(AND($F$24=2,$E$24=3),1,0))</f>
        <v>2</v>
      </c>
      <c r="AK6" s="13">
        <f>SUM(IF(AND($E$4=1,$F$4=3),1,0))+SUM(IF(AND($F$6=1,$E$6=3),1,0))+SUM(IF(AND($F$9=1,$E$9=3),1,0))+SUM(IF(AND($E$12=1,$F$12=3),1,0))+SUM(IF(AND($F$14=1,$E$14=3),1,0))+SUM(IF(AND($E$16=1,$F$16=3),1,0))+SUM(IF(AND($E$19=1,$F$19=3),1,0))+SUM(IF(AND($F$22=1,$E$22=3),1,0))+SUM(IF(AND($F$24=1,$E$24=3),1,0))</f>
        <v>1</v>
      </c>
      <c r="AL6" s="13">
        <f>SUM(IF(AND($E$4=0,$F$4=3),1,0))+SUM(IF(AND($F$6=0,$E$6=3),1,0))+SUM(IF(AND($F$9=0,$E$9=3),1,0))+SUM(IF(AND($E$12=0,$F$12=3),1,0))+SUM(IF(AND($F$14=0,$E$14=3),1,0))+SUM(IF(AND($E$16=0,$F$16=3),1,0))+SUM(IF(AND($E$19=0,$F$19=3),1,0))+SUM(IF(AND($F$22=0,$E$22=3),1,0))+SUM(IF(AND($F$24=0,$E$24=3),1,0))</f>
        <v>2</v>
      </c>
      <c r="AM6" s="5"/>
      <c r="AN6" s="6"/>
      <c r="AO6" s="6"/>
      <c r="AP6" s="6"/>
      <c r="AQ6" s="6"/>
      <c r="AR6" s="6"/>
      <c r="AS6" s="6"/>
      <c r="AT6" s="6"/>
      <c r="AU6" s="6"/>
      <c r="AV6" s="6"/>
    </row>
    <row r="7" spans="1:48" ht="12.75" customHeight="1">
      <c r="A7" s="1" t="s">
        <v>124</v>
      </c>
      <c r="B7" s="1" t="s">
        <v>32</v>
      </c>
      <c r="C7" s="77" t="s">
        <v>35</v>
      </c>
      <c r="D7" s="7" t="s">
        <v>120</v>
      </c>
      <c r="E7" s="1">
        <v>0</v>
      </c>
      <c r="F7" s="1">
        <v>3</v>
      </c>
      <c r="G7" s="1">
        <v>10</v>
      </c>
      <c r="H7" s="1">
        <v>25</v>
      </c>
      <c r="I7" s="1">
        <v>17</v>
      </c>
      <c r="J7" s="1">
        <v>25</v>
      </c>
      <c r="K7" s="1">
        <v>10</v>
      </c>
      <c r="L7" s="1">
        <v>25</v>
      </c>
      <c r="M7" s="1">
        <v>0</v>
      </c>
      <c r="N7" s="1">
        <v>0</v>
      </c>
      <c r="O7" s="1">
        <v>0</v>
      </c>
      <c r="P7" s="1">
        <v>0</v>
      </c>
      <c r="Q7" s="1">
        <f>G7+I7+K7+M7+O7</f>
        <v>37</v>
      </c>
      <c r="R7" s="1">
        <f>H7+J7+L7+N7+P7</f>
        <v>75</v>
      </c>
      <c r="S7" s="5"/>
      <c r="T7" s="7">
        <v>5</v>
      </c>
      <c r="U7" s="7" t="s">
        <v>35</v>
      </c>
      <c r="V7" s="2">
        <f>AG7*3+AH7*3+AI7*2+AJ7*1</f>
        <v>0</v>
      </c>
      <c r="W7" s="1">
        <f>X7+Y7+Z7</f>
        <v>9</v>
      </c>
      <c r="X7" s="13">
        <f>COUNTIF($F$4,"=3")+COUNTIF($E$7,"=3")+COUNTIF($F$10,"=3")+COUNTIF($E$11,"=3")+COUNTIF($E$14,"=3")+COUNTIF($F$17,"=3")+COUNTIF($E$20,"=3")+COUNTIF($F$21,"=3")+COUNTIF($E$24,"=3")</f>
        <v>0</v>
      </c>
      <c r="Y7" s="13">
        <f>SUM(IF($F$4&lt;$E$4,1,0))+SUM(IF($E$7&lt;$F$7,1,0))+SUM(IF($F$10&lt;$E$10,1,0))+SUM(IF($E$11&lt;$F$11,1,0))+SUM(IF($E$14&lt;$F$14,1,0))+SUM(IF($F$17&lt;$E$17,1,0))+SUM(IF($E$20&lt;$F$20,1,0))+SUM(IF($F$21&lt;$E$21,1,0))+SUM(IF($E$24&lt;$F$24,1,0))</f>
        <v>9</v>
      </c>
      <c r="Z7" s="18"/>
      <c r="AA7" s="13">
        <f>$F$4+$E$7+$F$10+$E$11+$E$14+$F$17+$E$20+$F$21+$E$24</f>
        <v>1</v>
      </c>
      <c r="AB7" s="13">
        <f>$E$4+$F$7+$E$10+$F$11+$F$14+$E$17+$F$20+$E$21+$F$24</f>
        <v>27</v>
      </c>
      <c r="AC7" s="23">
        <f>IF(AB7=0,"MAX",AA7/AB7)</f>
        <v>0.037037037037037035</v>
      </c>
      <c r="AD7" s="13">
        <f>$R$4+$Q$7+$R$10+$Q$11+$Q$14+$R$17+$Q$20+$R$21+$Q$24</f>
        <v>420</v>
      </c>
      <c r="AE7" s="13">
        <f>$Q$4+$R$7+$Q$10+$R$11+$R$14+$Q$17+$R$20+$Q$21+$R$24</f>
        <v>693</v>
      </c>
      <c r="AF7" s="23">
        <f>IF(AE7=0,"MAX",AD7/AE7)</f>
        <v>0.6060606060606061</v>
      </c>
      <c r="AG7" s="13">
        <f>SUM(IF(AND($F$4=3,$E$4=0),1,0))+SUM(IF(AND($E$7=3,$F$7=0),1,0))+SUM(IF(AND($F$10=3,$E$10=0),1,0))+SUM(IF(AND($E$11=3,$F$11=0),1,0))+SUM(IF(AND($E$14=3,$F$14=0),1,0))+SUM(IF(AND($F$17=3,$E$17=0),1,0))+SUM(IF(AND($E$20=3,$F$20=0),1,0))+SUM(IF(AND($F$21=3,$E$21=0),1,0))+SUM(IF(AND($E$24=3,$F$24=0),1,0))</f>
        <v>0</v>
      </c>
      <c r="AH7" s="13">
        <f>SUM(IF(AND($F$4=3,$E$4=1),1,0))+SUM(IF(AND($E$7=3,$F$7=1),1,0))+SUM(IF(AND($F$10=3,$E$10=1),1,0))+SUM(IF(AND($E$11=3,$F$11=1),1,0))+SUM(IF(AND($E$14=3,$F$14=1),1,0))+SUM(IF(AND($F$17=3,$E$17=1),1,0))+SUM(IF(AND($E$20=3,$F$20=1),1,0))+SUM(IF(AND($F$21=3,$E$21=1),1,0))+SUM(IF(AND($E$24=3,$F$24=1),1,0))</f>
        <v>0</v>
      </c>
      <c r="AI7" s="13">
        <f>SUM(IF(AND($F$4=3,$E$4=2),1,0))+SUM(IF(AND($E$7=3,$F$7=2),1,0))+SUM(IF(AND($F$10=3,$E$10=2),1,0))+SUM(IF(AND($E$11=3,$F$11=2),1,0))+SUM(IF(AND($E$14=3,$F$14=2),1,0))+SUM(IF(AND($F$17=3,$E$17=2),1,0))+SUM(IF(AND($E$20=3,$F$20=2),1,0))+SUM(IF(AND($F$21=3,$E$21=2),1,0))+SUM(IF(AND($E$24=3,$F$24=2),1,0))</f>
        <v>0</v>
      </c>
      <c r="AJ7" s="13">
        <f>SUM(IF(AND($F$4=2,$E$4=3),1,0))+SUM(IF(AND($E$7=2,$F$7=3),1,0))+SUM(IF(AND($F$10=2,$E$10=3),1,0))+SUM(IF(AND($E$11=2,$F$11=3),1,0))+SUM(IF(AND($E$14=2,$F$14=3),1,0))+SUM(IF(AND($F$17=2,$E$17=3),1,0))+SUM(IF(AND($E$20=2,$F$20=3),1,0))+SUM(IF(AND($F$21=2,$E$21=3),1,0))+SUM(IF(AND($E$24=2,$F$24=3),1,0))</f>
        <v>0</v>
      </c>
      <c r="AK7" s="13">
        <f>SUM(IF(AND($F$4=1,$E$4=3),1,0))+SUM(IF(AND($E$7=1,$F$7=3),1,0))+SUM(IF(AND($F$10=1,$E$10=3),1,0))+SUM(IF(AND($E$11=1,$F$11=3),1,0))+SUM(IF(AND($E$14=1,$F$14=3),1,0))+SUM(IF(AND($F$17=1,$E$17=3),1,0))+SUM(IF(AND($E$20=1,$F$20=3),1,0))+SUM(IF(AND($F$21=1,$E$21=3),1,0))+SUM(IF(AND($E$24=1,$F$24=3),1,0))</f>
        <v>1</v>
      </c>
      <c r="AL7" s="13">
        <f>SUM(IF(AND($F$4=0,$E$4=3),1,0))+SUM(IF(AND($E$7=0,$F$7=3),1,0))+SUM(IF(AND($F$10=0,$E$10=3),1,0))+SUM(IF(AND($E$11=0,$F$11=3),1,0))+SUM(IF(AND($E$14=0,$F$14=3),1,0))+SUM(IF(AND($F$17=0,$E$17=3),1,0))+SUM(IF(AND($E$20=0,$F$20=3),1,0))+SUM(IF(AND($F$21=0,$E$21=3),1,0))+SUM(IF(AND($E$24=0,$F$24=3),1,0))</f>
        <v>8</v>
      </c>
      <c r="AM7" s="5"/>
      <c r="AN7" s="6"/>
      <c r="AO7" s="6"/>
      <c r="AP7" s="6"/>
      <c r="AQ7" s="6"/>
      <c r="AR7" s="6"/>
      <c r="AS7" s="6"/>
      <c r="AT7" s="6"/>
      <c r="AU7" s="6"/>
      <c r="AV7" s="6"/>
    </row>
    <row r="8" spans="1:48" ht="12.75" customHeight="1">
      <c r="A8" s="1" t="s">
        <v>125</v>
      </c>
      <c r="B8" s="1" t="s">
        <v>32</v>
      </c>
      <c r="C8" s="77" t="s">
        <v>41</v>
      </c>
      <c r="D8" s="7" t="s">
        <v>27</v>
      </c>
      <c r="E8" s="1">
        <v>1</v>
      </c>
      <c r="F8" s="1">
        <v>3</v>
      </c>
      <c r="G8" s="1">
        <v>21</v>
      </c>
      <c r="H8" s="1">
        <v>25</v>
      </c>
      <c r="I8" s="1">
        <v>25</v>
      </c>
      <c r="J8" s="1">
        <v>22</v>
      </c>
      <c r="K8" s="1">
        <v>20</v>
      </c>
      <c r="L8" s="1">
        <v>25</v>
      </c>
      <c r="M8" s="1">
        <v>24</v>
      </c>
      <c r="N8" s="1">
        <v>26</v>
      </c>
      <c r="O8" s="1">
        <v>0</v>
      </c>
      <c r="P8" s="1">
        <v>0</v>
      </c>
      <c r="Q8" s="1">
        <f>G8+I8+K8+M8+O8</f>
        <v>90</v>
      </c>
      <c r="R8" s="1">
        <f>H8+J8+L8+N8+P8</f>
        <v>98</v>
      </c>
      <c r="S8" s="5"/>
      <c r="T8" s="3"/>
      <c r="U8" s="3"/>
      <c r="V8" s="3"/>
      <c r="W8" s="3"/>
      <c r="X8" s="3"/>
      <c r="Y8" s="3"/>
      <c r="Z8" s="3"/>
      <c r="AA8" s="3"/>
      <c r="AB8" s="3"/>
      <c r="AC8" s="115"/>
      <c r="AD8" s="3"/>
      <c r="AE8" s="3"/>
      <c r="AF8" s="35"/>
      <c r="AG8" s="3"/>
      <c r="AH8" s="3"/>
      <c r="AI8" s="3"/>
      <c r="AJ8" s="3"/>
      <c r="AK8" s="3"/>
      <c r="AL8" s="3"/>
      <c r="AM8" s="5"/>
      <c r="AN8" s="6"/>
      <c r="AO8" s="6"/>
      <c r="AP8" s="6"/>
      <c r="AQ8" s="6"/>
      <c r="AR8" s="6"/>
      <c r="AS8" s="6"/>
      <c r="AT8" s="6"/>
      <c r="AU8" s="6"/>
      <c r="AV8" s="6"/>
    </row>
    <row r="9" spans="1:48" ht="12.75" customHeight="1">
      <c r="A9" s="1" t="s">
        <v>126</v>
      </c>
      <c r="B9" s="1" t="s">
        <v>32</v>
      </c>
      <c r="C9" s="7" t="s">
        <v>120</v>
      </c>
      <c r="D9" s="77" t="s">
        <v>46</v>
      </c>
      <c r="E9" s="1">
        <v>3</v>
      </c>
      <c r="F9" s="1">
        <v>0</v>
      </c>
      <c r="G9" s="1">
        <v>25</v>
      </c>
      <c r="H9" s="1">
        <v>21</v>
      </c>
      <c r="I9" s="1">
        <v>25</v>
      </c>
      <c r="J9" s="1">
        <v>16</v>
      </c>
      <c r="K9" s="1">
        <v>25</v>
      </c>
      <c r="L9" s="1">
        <v>12</v>
      </c>
      <c r="M9" s="1">
        <v>0</v>
      </c>
      <c r="N9" s="1">
        <v>0</v>
      </c>
      <c r="O9" s="1">
        <v>0</v>
      </c>
      <c r="P9" s="1">
        <v>0</v>
      </c>
      <c r="Q9" s="1">
        <f>G9+I9+K9+M9+O9</f>
        <v>75</v>
      </c>
      <c r="R9" s="1">
        <f>H9+J9+L9+N9+P9</f>
        <v>49</v>
      </c>
      <c r="S9" s="5"/>
      <c r="T9" s="3"/>
      <c r="U9" s="4" t="s">
        <v>29</v>
      </c>
      <c r="V9" s="3"/>
      <c r="W9" s="3"/>
      <c r="X9" s="3"/>
      <c r="Y9" s="3"/>
      <c r="Z9" s="3"/>
      <c r="AA9" s="3"/>
      <c r="AB9" s="3"/>
      <c r="AC9" s="115"/>
      <c r="AD9" s="3"/>
      <c r="AE9" s="3"/>
      <c r="AF9" s="35"/>
      <c r="AG9" s="3"/>
      <c r="AH9" s="3"/>
      <c r="AI9" s="3"/>
      <c r="AJ9" s="3"/>
      <c r="AK9" s="3"/>
      <c r="AL9" s="3"/>
      <c r="AM9" s="5"/>
      <c r="AN9" s="6"/>
      <c r="AO9" s="6"/>
      <c r="AP9" s="6"/>
      <c r="AQ9" s="6"/>
      <c r="AR9" s="6"/>
      <c r="AS9" s="6"/>
      <c r="AT9" s="6"/>
      <c r="AU9" s="6"/>
      <c r="AV9" s="6"/>
    </row>
    <row r="10" spans="1:48" ht="12.75" customHeight="1">
      <c r="A10" s="1" t="s">
        <v>127</v>
      </c>
      <c r="B10" s="1" t="s">
        <v>32</v>
      </c>
      <c r="C10" s="77" t="s">
        <v>27</v>
      </c>
      <c r="D10" s="77" t="s">
        <v>35</v>
      </c>
      <c r="E10" s="1">
        <v>3</v>
      </c>
      <c r="F10" s="1">
        <v>1</v>
      </c>
      <c r="G10" s="1">
        <v>25</v>
      </c>
      <c r="H10" s="1">
        <v>15</v>
      </c>
      <c r="I10" s="1">
        <v>25</v>
      </c>
      <c r="J10" s="1">
        <v>17</v>
      </c>
      <c r="K10" s="1">
        <v>18</v>
      </c>
      <c r="L10" s="1">
        <v>25</v>
      </c>
      <c r="M10" s="1">
        <v>25</v>
      </c>
      <c r="N10" s="1">
        <v>19</v>
      </c>
      <c r="O10" s="1">
        <v>0</v>
      </c>
      <c r="P10" s="1">
        <v>0</v>
      </c>
      <c r="Q10" s="1">
        <f>G10+I10+K10+M10+O10</f>
        <v>93</v>
      </c>
      <c r="R10" s="1">
        <f>H10+J10+L10+N10+P10</f>
        <v>76</v>
      </c>
      <c r="S10" s="5"/>
      <c r="T10" s="3"/>
      <c r="U10" s="7"/>
      <c r="V10" s="3"/>
      <c r="W10" s="3"/>
      <c r="X10" s="3"/>
      <c r="Y10" s="3"/>
      <c r="Z10" s="3"/>
      <c r="AA10" s="3"/>
      <c r="AB10" s="3"/>
      <c r="AC10" s="115"/>
      <c r="AD10" s="3"/>
      <c r="AE10" s="3"/>
      <c r="AF10" s="35"/>
      <c r="AG10" s="3"/>
      <c r="AH10" s="3"/>
      <c r="AI10" s="3"/>
      <c r="AJ10" s="3"/>
      <c r="AK10" s="3"/>
      <c r="AL10" s="3"/>
      <c r="AM10" s="5"/>
      <c r="AN10" s="6"/>
      <c r="AO10" s="6"/>
      <c r="AP10" s="6"/>
      <c r="AQ10" s="6"/>
      <c r="AR10" s="6"/>
      <c r="AS10" s="6"/>
      <c r="AT10" s="6"/>
      <c r="AU10" s="6"/>
      <c r="AV10" s="6"/>
    </row>
    <row r="11" spans="1:48" ht="12.75" customHeight="1">
      <c r="A11" s="1" t="s">
        <v>128</v>
      </c>
      <c r="B11" s="1" t="s">
        <v>32</v>
      </c>
      <c r="C11" s="7" t="s">
        <v>35</v>
      </c>
      <c r="D11" s="77" t="s">
        <v>41</v>
      </c>
      <c r="E11" s="1">
        <v>0</v>
      </c>
      <c r="F11" s="1">
        <v>3</v>
      </c>
      <c r="G11" s="1">
        <v>16</v>
      </c>
      <c r="H11" s="1">
        <v>25</v>
      </c>
      <c r="I11" s="1">
        <v>18</v>
      </c>
      <c r="J11" s="1">
        <v>25</v>
      </c>
      <c r="K11" s="1">
        <v>12</v>
      </c>
      <c r="L11" s="1">
        <v>25</v>
      </c>
      <c r="M11" s="1">
        <v>0</v>
      </c>
      <c r="N11" s="1">
        <v>0</v>
      </c>
      <c r="O11" s="1">
        <v>0</v>
      </c>
      <c r="P11" s="1">
        <v>0</v>
      </c>
      <c r="Q11" s="1">
        <f>G11+I11+K11+M11+O11</f>
        <v>46</v>
      </c>
      <c r="R11" s="1">
        <f>H11+J11+L11+N11+P11</f>
        <v>75</v>
      </c>
      <c r="S11" s="5"/>
      <c r="T11" s="3"/>
      <c r="U11" s="3"/>
      <c r="V11" s="3"/>
      <c r="W11" s="3"/>
      <c r="X11" s="3"/>
      <c r="Y11" s="3"/>
      <c r="Z11" s="3"/>
      <c r="AA11" s="3"/>
      <c r="AB11" s="3"/>
      <c r="AC11" s="115"/>
      <c r="AD11" s="3"/>
      <c r="AE11" s="3"/>
      <c r="AF11" s="35"/>
      <c r="AG11" s="3"/>
      <c r="AH11" s="3"/>
      <c r="AI11" s="3"/>
      <c r="AJ11" s="3"/>
      <c r="AK11" s="3"/>
      <c r="AL11" s="3"/>
      <c r="AM11" s="5"/>
      <c r="AN11" s="6"/>
      <c r="AO11" s="6"/>
      <c r="AP11" s="6"/>
      <c r="AQ11" s="6"/>
      <c r="AR11" s="6"/>
      <c r="AS11" s="6"/>
      <c r="AT11" s="6"/>
      <c r="AU11" s="6"/>
      <c r="AV11" s="6"/>
    </row>
    <row r="12" spans="1:48" ht="12.75" customHeight="1">
      <c r="A12" s="1" t="s">
        <v>129</v>
      </c>
      <c r="B12" s="1" t="s">
        <v>32</v>
      </c>
      <c r="C12" s="77" t="s">
        <v>46</v>
      </c>
      <c r="D12" s="77" t="s">
        <v>27</v>
      </c>
      <c r="E12" s="1">
        <v>0</v>
      </c>
      <c r="F12" s="1">
        <v>3</v>
      </c>
      <c r="G12" s="1">
        <v>15</v>
      </c>
      <c r="H12" s="1">
        <v>25</v>
      </c>
      <c r="I12" s="1">
        <v>15</v>
      </c>
      <c r="J12" s="1">
        <v>25</v>
      </c>
      <c r="K12" s="1">
        <v>22</v>
      </c>
      <c r="L12" s="1">
        <v>25</v>
      </c>
      <c r="M12" s="1">
        <v>0</v>
      </c>
      <c r="N12" s="1">
        <v>0</v>
      </c>
      <c r="O12" s="1">
        <v>0</v>
      </c>
      <c r="P12" s="1">
        <v>0</v>
      </c>
      <c r="Q12" s="1">
        <f>G12+I12+K12+M12+O12</f>
        <v>52</v>
      </c>
      <c r="R12" s="1">
        <f>H12+J12+L12+N12+P12</f>
        <v>75</v>
      </c>
      <c r="S12" s="5"/>
      <c r="T12" s="3"/>
      <c r="U12" s="3"/>
      <c r="V12" s="3"/>
      <c r="W12" s="3"/>
      <c r="X12" s="3"/>
      <c r="Y12" s="3"/>
      <c r="Z12" s="3"/>
      <c r="AA12" s="3"/>
      <c r="AB12" s="3"/>
      <c r="AC12" s="115"/>
      <c r="AD12" s="3"/>
      <c r="AE12" s="3"/>
      <c r="AF12" s="35"/>
      <c r="AG12" s="3"/>
      <c r="AH12" s="3"/>
      <c r="AI12" s="3"/>
      <c r="AJ12" s="3"/>
      <c r="AK12" s="3"/>
      <c r="AL12" s="3"/>
      <c r="AM12" s="5"/>
      <c r="AN12" s="6"/>
      <c r="AO12" s="6"/>
      <c r="AP12" s="6"/>
      <c r="AQ12" s="6"/>
      <c r="AR12" s="6"/>
      <c r="AS12" s="6"/>
      <c r="AT12" s="6"/>
      <c r="AU12" s="6"/>
      <c r="AV12" s="6"/>
    </row>
    <row r="13" spans="1:48" ht="12.75" customHeight="1">
      <c r="A13" s="1" t="s">
        <v>130</v>
      </c>
      <c r="B13" s="1" t="s">
        <v>131</v>
      </c>
      <c r="C13" s="77" t="s">
        <v>41</v>
      </c>
      <c r="D13" s="7" t="s">
        <v>120</v>
      </c>
      <c r="E13" s="1">
        <v>3</v>
      </c>
      <c r="F13" s="1">
        <v>0</v>
      </c>
      <c r="G13" s="1">
        <v>25</v>
      </c>
      <c r="H13" s="1">
        <v>15</v>
      </c>
      <c r="I13" s="1">
        <v>25</v>
      </c>
      <c r="J13" s="1">
        <v>22</v>
      </c>
      <c r="K13" s="1">
        <v>25</v>
      </c>
      <c r="L13" s="1">
        <v>20</v>
      </c>
      <c r="M13" s="1">
        <v>0</v>
      </c>
      <c r="N13" s="1">
        <v>0</v>
      </c>
      <c r="O13" s="1">
        <v>0</v>
      </c>
      <c r="P13" s="1">
        <v>0</v>
      </c>
      <c r="Q13" s="1">
        <f>G13+I13+K13+M13+O13</f>
        <v>75</v>
      </c>
      <c r="R13" s="1">
        <f>H13+J13+L13+N13+P13</f>
        <v>57</v>
      </c>
      <c r="S13" s="5"/>
      <c r="T13" s="3"/>
      <c r="U13" s="3"/>
      <c r="V13" s="3"/>
      <c r="W13" s="3"/>
      <c r="X13" s="3"/>
      <c r="Y13" s="3"/>
      <c r="Z13" s="3"/>
      <c r="AA13" s="3"/>
      <c r="AB13" s="3"/>
      <c r="AC13" s="115"/>
      <c r="AD13" s="3"/>
      <c r="AE13" s="3"/>
      <c r="AF13" s="35"/>
      <c r="AG13" s="3"/>
      <c r="AH13" s="3"/>
      <c r="AI13" s="3"/>
      <c r="AJ13" s="3"/>
      <c r="AK13" s="3"/>
      <c r="AL13" s="3"/>
      <c r="AM13" s="5"/>
      <c r="AN13" s="6"/>
      <c r="AO13" s="6"/>
      <c r="AP13" s="6"/>
      <c r="AQ13" s="6"/>
      <c r="AR13" s="6"/>
      <c r="AS13" s="6"/>
      <c r="AT13" s="6"/>
      <c r="AU13" s="6"/>
      <c r="AV13" s="6"/>
    </row>
    <row r="14" spans="1:48" ht="12.75" customHeight="1">
      <c r="A14" s="1" t="s">
        <v>132</v>
      </c>
      <c r="B14" s="1" t="s">
        <v>131</v>
      </c>
      <c r="C14" s="7" t="s">
        <v>35</v>
      </c>
      <c r="D14" s="77" t="s">
        <v>46</v>
      </c>
      <c r="E14" s="1">
        <v>0</v>
      </c>
      <c r="F14" s="1">
        <v>3</v>
      </c>
      <c r="G14" s="1">
        <v>18</v>
      </c>
      <c r="H14" s="1">
        <v>25</v>
      </c>
      <c r="I14" s="1">
        <v>14</v>
      </c>
      <c r="J14" s="1">
        <v>25</v>
      </c>
      <c r="K14" s="1">
        <v>11</v>
      </c>
      <c r="L14" s="1">
        <v>25</v>
      </c>
      <c r="M14" s="1">
        <v>0</v>
      </c>
      <c r="N14" s="1">
        <v>0</v>
      </c>
      <c r="O14" s="1">
        <v>0</v>
      </c>
      <c r="P14" s="1">
        <v>0</v>
      </c>
      <c r="Q14" s="1">
        <f>G14+I14+K14+M14+O14</f>
        <v>43</v>
      </c>
      <c r="R14" s="1">
        <f>H14+J14+L14+N14+P14</f>
        <v>75</v>
      </c>
      <c r="S14" s="5"/>
      <c r="T14" s="3"/>
      <c r="U14" s="3"/>
      <c r="V14" s="3"/>
      <c r="W14" s="3"/>
      <c r="X14" s="3"/>
      <c r="Y14" s="3"/>
      <c r="Z14" s="3"/>
      <c r="AA14" s="3"/>
      <c r="AB14" s="3"/>
      <c r="AC14" s="115"/>
      <c r="AD14" s="3"/>
      <c r="AE14" s="3"/>
      <c r="AF14" s="35"/>
      <c r="AG14" s="3"/>
      <c r="AH14" s="3"/>
      <c r="AI14" s="3"/>
      <c r="AJ14" s="3"/>
      <c r="AK14" s="3"/>
      <c r="AL14" s="3"/>
      <c r="AM14" s="5"/>
      <c r="AN14" s="6"/>
      <c r="AO14" s="6"/>
      <c r="AP14" s="6"/>
      <c r="AQ14" s="6"/>
      <c r="AR14" s="6"/>
      <c r="AS14" s="6"/>
      <c r="AT14" s="6"/>
      <c r="AU14" s="6"/>
      <c r="AV14" s="6"/>
    </row>
    <row r="15" spans="1:48" ht="12.75" customHeight="1">
      <c r="A15" s="1" t="s">
        <v>133</v>
      </c>
      <c r="B15" s="1" t="s">
        <v>131</v>
      </c>
      <c r="C15" s="7" t="s">
        <v>120</v>
      </c>
      <c r="D15" s="7" t="s">
        <v>27</v>
      </c>
      <c r="E15" s="1">
        <v>3</v>
      </c>
      <c r="F15" s="1">
        <v>1</v>
      </c>
      <c r="G15" s="1">
        <v>21</v>
      </c>
      <c r="H15" s="1">
        <v>25</v>
      </c>
      <c r="I15" s="1">
        <v>25</v>
      </c>
      <c r="J15" s="1">
        <v>14</v>
      </c>
      <c r="K15" s="1">
        <v>25</v>
      </c>
      <c r="L15" s="1">
        <v>15</v>
      </c>
      <c r="M15" s="1">
        <v>25</v>
      </c>
      <c r="N15" s="1">
        <v>20</v>
      </c>
      <c r="O15" s="1">
        <v>0</v>
      </c>
      <c r="P15" s="1">
        <v>0</v>
      </c>
      <c r="Q15" s="1">
        <f>G15+I15+K15+M15+O15</f>
        <v>96</v>
      </c>
      <c r="R15" s="1">
        <f>H15+J15+L15+N15+P15</f>
        <v>74</v>
      </c>
      <c r="S15" s="5"/>
      <c r="T15" s="3"/>
      <c r="U15" s="3"/>
      <c r="V15" s="3"/>
      <c r="W15" s="3"/>
      <c r="X15" s="3"/>
      <c r="Y15" s="3"/>
      <c r="Z15" s="3"/>
      <c r="AA15" s="3"/>
      <c r="AB15" s="3"/>
      <c r="AC15" s="115"/>
      <c r="AD15" s="3"/>
      <c r="AE15" s="3"/>
      <c r="AF15" s="35"/>
      <c r="AG15" s="3"/>
      <c r="AH15" s="3"/>
      <c r="AI15" s="3"/>
      <c r="AJ15" s="3"/>
      <c r="AK15" s="3"/>
      <c r="AL15" s="3"/>
      <c r="AM15" s="5"/>
      <c r="AN15" s="6"/>
      <c r="AO15" s="6"/>
      <c r="AP15" s="6"/>
      <c r="AQ15" s="6"/>
      <c r="AR15" s="6"/>
      <c r="AS15" s="6"/>
      <c r="AT15" s="6"/>
      <c r="AU15" s="6"/>
      <c r="AV15" s="6"/>
    </row>
    <row r="16" spans="1:48" ht="12.75" customHeight="1">
      <c r="A16" s="1" t="s">
        <v>134</v>
      </c>
      <c r="B16" s="1" t="s">
        <v>131</v>
      </c>
      <c r="C16" s="7" t="s">
        <v>46</v>
      </c>
      <c r="D16" s="77" t="s">
        <v>41</v>
      </c>
      <c r="E16" s="1">
        <v>2</v>
      </c>
      <c r="F16" s="1">
        <v>3</v>
      </c>
      <c r="G16" s="1">
        <v>25</v>
      </c>
      <c r="H16" s="1">
        <v>17</v>
      </c>
      <c r="I16" s="1">
        <v>20</v>
      </c>
      <c r="J16" s="1">
        <v>25</v>
      </c>
      <c r="K16" s="1">
        <v>19</v>
      </c>
      <c r="L16" s="1">
        <v>25</v>
      </c>
      <c r="M16" s="1">
        <v>25</v>
      </c>
      <c r="N16" s="1">
        <v>17</v>
      </c>
      <c r="O16" s="1">
        <v>15</v>
      </c>
      <c r="P16" s="1">
        <v>7</v>
      </c>
      <c r="Q16" s="1">
        <f>G16+I16+K16+M16+O16</f>
        <v>104</v>
      </c>
      <c r="R16" s="1">
        <f>H16+J16+L16+N16+P16</f>
        <v>91</v>
      </c>
      <c r="S16" s="5"/>
      <c r="T16" s="3"/>
      <c r="U16" s="3"/>
      <c r="V16" s="3"/>
      <c r="W16" s="3"/>
      <c r="X16" s="3"/>
      <c r="Y16" s="3"/>
      <c r="Z16" s="3"/>
      <c r="AA16" s="3"/>
      <c r="AB16" s="3"/>
      <c r="AC16" s="115"/>
      <c r="AD16" s="3"/>
      <c r="AE16" s="3"/>
      <c r="AF16" s="35"/>
      <c r="AG16" s="3"/>
      <c r="AH16" s="3"/>
      <c r="AI16" s="3"/>
      <c r="AJ16" s="3"/>
      <c r="AK16" s="3"/>
      <c r="AL16" s="3"/>
      <c r="AM16" s="5"/>
      <c r="AN16" s="6"/>
      <c r="AO16" s="6"/>
      <c r="AP16" s="6"/>
      <c r="AQ16" s="6"/>
      <c r="AR16" s="6"/>
      <c r="AS16" s="6"/>
      <c r="AT16" s="6"/>
      <c r="AU16" s="6"/>
      <c r="AV16" s="6"/>
    </row>
    <row r="17" spans="1:48" ht="12.75" customHeight="1">
      <c r="A17" s="1" t="s">
        <v>135</v>
      </c>
      <c r="B17" s="1" t="s">
        <v>131</v>
      </c>
      <c r="C17" s="7" t="s">
        <v>120</v>
      </c>
      <c r="D17" s="77" t="s">
        <v>35</v>
      </c>
      <c r="E17" s="1">
        <v>3</v>
      </c>
      <c r="F17" s="1">
        <v>0</v>
      </c>
      <c r="G17" s="1">
        <v>25</v>
      </c>
      <c r="H17" s="1">
        <v>14</v>
      </c>
      <c r="I17" s="1">
        <v>25</v>
      </c>
      <c r="J17" s="1">
        <v>7</v>
      </c>
      <c r="K17" s="1">
        <v>25</v>
      </c>
      <c r="L17" s="1">
        <v>22</v>
      </c>
      <c r="M17" s="1">
        <v>0</v>
      </c>
      <c r="N17" s="1">
        <v>0</v>
      </c>
      <c r="O17" s="1">
        <v>0</v>
      </c>
      <c r="P17" s="1">
        <v>0</v>
      </c>
      <c r="Q17" s="1">
        <f>G17+I17+K17+M17+O17</f>
        <v>75</v>
      </c>
      <c r="R17" s="1">
        <f>H17+J17+L17+N17+P17</f>
        <v>43</v>
      </c>
      <c r="S17" s="5"/>
      <c r="T17" s="3"/>
      <c r="U17" s="3"/>
      <c r="V17" s="3"/>
      <c r="W17" s="3"/>
      <c r="X17" s="3"/>
      <c r="Y17" s="3"/>
      <c r="Z17" s="3"/>
      <c r="AA17" s="3"/>
      <c r="AB17" s="3"/>
      <c r="AC17" s="115"/>
      <c r="AD17" s="3"/>
      <c r="AE17" s="3"/>
      <c r="AF17" s="35"/>
      <c r="AG17" s="3"/>
      <c r="AH17" s="3"/>
      <c r="AI17" s="3"/>
      <c r="AJ17" s="3"/>
      <c r="AK17" s="3"/>
      <c r="AL17" s="3"/>
      <c r="AM17" s="5"/>
      <c r="AN17" s="6"/>
      <c r="AO17" s="6"/>
      <c r="AP17" s="6"/>
      <c r="AQ17" s="6"/>
      <c r="AR17" s="6"/>
      <c r="AS17" s="6"/>
      <c r="AT17" s="6"/>
      <c r="AU17" s="6"/>
      <c r="AV17" s="6"/>
    </row>
    <row r="18" spans="1:48" ht="12.75" customHeight="1">
      <c r="A18" s="1" t="s">
        <v>136</v>
      </c>
      <c r="B18" s="1" t="s">
        <v>131</v>
      </c>
      <c r="C18" s="7" t="s">
        <v>27</v>
      </c>
      <c r="D18" s="77" t="s">
        <v>41</v>
      </c>
      <c r="E18" s="116">
        <v>0</v>
      </c>
      <c r="F18" s="116">
        <v>3</v>
      </c>
      <c r="G18" s="116">
        <v>22</v>
      </c>
      <c r="H18" s="116">
        <v>25</v>
      </c>
      <c r="I18" s="116">
        <v>17</v>
      </c>
      <c r="J18" s="116">
        <v>25</v>
      </c>
      <c r="K18" s="116">
        <v>20</v>
      </c>
      <c r="L18" s="116">
        <v>25</v>
      </c>
      <c r="M18" s="116">
        <v>0</v>
      </c>
      <c r="N18" s="116">
        <v>0</v>
      </c>
      <c r="O18" s="116">
        <v>0</v>
      </c>
      <c r="P18" s="116">
        <v>0</v>
      </c>
      <c r="Q18" s="1">
        <f>G18+I18+K18+M18+O18</f>
        <v>59</v>
      </c>
      <c r="R18" s="1">
        <f>H18+J18+L18+N18+P18</f>
        <v>75</v>
      </c>
      <c r="S18" s="5"/>
      <c r="T18" s="3"/>
      <c r="U18" s="3"/>
      <c r="V18" s="3"/>
      <c r="W18" s="3"/>
      <c r="X18" s="3"/>
      <c r="Y18" s="3"/>
      <c r="Z18" s="3"/>
      <c r="AA18" s="3"/>
      <c r="AB18" s="3"/>
      <c r="AC18" s="115"/>
      <c r="AD18" s="3"/>
      <c r="AE18" s="3"/>
      <c r="AF18" s="35"/>
      <c r="AG18" s="3"/>
      <c r="AH18" s="3"/>
      <c r="AI18" s="3"/>
      <c r="AJ18" s="3"/>
      <c r="AK18" s="3"/>
      <c r="AL18" s="3"/>
      <c r="AM18" s="5"/>
      <c r="AN18" s="6"/>
      <c r="AO18" s="6"/>
      <c r="AP18" s="6"/>
      <c r="AQ18" s="6"/>
      <c r="AR18" s="6"/>
      <c r="AS18" s="6"/>
      <c r="AT18" s="6"/>
      <c r="AU18" s="6"/>
      <c r="AV18" s="6"/>
    </row>
    <row r="19" spans="1:48" ht="12.75" customHeight="1">
      <c r="A19" s="1" t="s">
        <v>137</v>
      </c>
      <c r="B19" s="1" t="s">
        <v>131</v>
      </c>
      <c r="C19" s="77" t="s">
        <v>46</v>
      </c>
      <c r="D19" s="7" t="s">
        <v>120</v>
      </c>
      <c r="E19" s="116">
        <v>1</v>
      </c>
      <c r="F19" s="116">
        <v>3</v>
      </c>
      <c r="G19" s="116">
        <v>23</v>
      </c>
      <c r="H19" s="116">
        <v>25</v>
      </c>
      <c r="I19" s="116">
        <v>26</v>
      </c>
      <c r="J19" s="116">
        <v>24</v>
      </c>
      <c r="K19" s="116">
        <v>10</v>
      </c>
      <c r="L19" s="116">
        <v>25</v>
      </c>
      <c r="M19" s="116">
        <v>15</v>
      </c>
      <c r="N19" s="116">
        <v>25</v>
      </c>
      <c r="O19" s="116">
        <v>0</v>
      </c>
      <c r="P19" s="116">
        <v>0</v>
      </c>
      <c r="Q19" s="1">
        <f>G19+I19+K19+M19+O19</f>
        <v>74</v>
      </c>
      <c r="R19" s="1">
        <f>H19+J19+L19+N19+P19</f>
        <v>99</v>
      </c>
      <c r="S19" s="5"/>
      <c r="T19" s="3"/>
      <c r="U19" s="3"/>
      <c r="V19" s="3"/>
      <c r="W19" s="3"/>
      <c r="X19" s="3"/>
      <c r="Y19" s="3"/>
      <c r="Z19" s="3"/>
      <c r="AA19" s="3"/>
      <c r="AB19" s="3"/>
      <c r="AC19" s="115"/>
      <c r="AD19" s="3"/>
      <c r="AE19" s="3"/>
      <c r="AF19" s="35"/>
      <c r="AG19" s="3"/>
      <c r="AH19" s="3"/>
      <c r="AI19" s="3"/>
      <c r="AJ19" s="3"/>
      <c r="AK19" s="3"/>
      <c r="AL19" s="3"/>
      <c r="AM19" s="5"/>
      <c r="AN19" s="6"/>
      <c r="AO19" s="6"/>
      <c r="AP19" s="6"/>
      <c r="AQ19" s="6"/>
      <c r="AR19" s="6"/>
      <c r="AS19" s="6"/>
      <c r="AT19" s="6"/>
      <c r="AU19" s="6"/>
      <c r="AV19" s="6"/>
    </row>
    <row r="20" spans="1:48" ht="12.75" customHeight="1">
      <c r="A20" s="1" t="s">
        <v>138</v>
      </c>
      <c r="B20" s="1" t="s">
        <v>131</v>
      </c>
      <c r="C20" s="77" t="s">
        <v>35</v>
      </c>
      <c r="D20" s="77" t="s">
        <v>27</v>
      </c>
      <c r="E20" s="116">
        <v>0</v>
      </c>
      <c r="F20" s="116">
        <v>3</v>
      </c>
      <c r="G20" s="116">
        <v>10</v>
      </c>
      <c r="H20" s="116">
        <v>25</v>
      </c>
      <c r="I20" s="116">
        <v>12</v>
      </c>
      <c r="J20" s="116">
        <v>25</v>
      </c>
      <c r="K20" s="116">
        <v>13</v>
      </c>
      <c r="L20" s="116">
        <v>25</v>
      </c>
      <c r="M20" s="116">
        <v>0</v>
      </c>
      <c r="N20" s="116">
        <v>0</v>
      </c>
      <c r="O20" s="116">
        <v>0</v>
      </c>
      <c r="P20" s="116">
        <v>0</v>
      </c>
      <c r="Q20" s="1">
        <f>G20+I20+K20+M20+O20</f>
        <v>35</v>
      </c>
      <c r="R20" s="1">
        <f>H20+J20+L20+N20+P20</f>
        <v>75</v>
      </c>
      <c r="S20" s="5"/>
      <c r="T20" s="3"/>
      <c r="U20" s="3"/>
      <c r="V20" s="3"/>
      <c r="W20" s="3"/>
      <c r="X20" s="3"/>
      <c r="Y20" s="3"/>
      <c r="Z20" s="3"/>
      <c r="AA20" s="3"/>
      <c r="AB20" s="3"/>
      <c r="AC20" s="115"/>
      <c r="AD20" s="3"/>
      <c r="AE20" s="3"/>
      <c r="AF20" s="35"/>
      <c r="AG20" s="3"/>
      <c r="AH20" s="3"/>
      <c r="AI20" s="3"/>
      <c r="AJ20" s="3"/>
      <c r="AK20" s="3"/>
      <c r="AL20" s="3"/>
      <c r="AM20" s="5"/>
      <c r="AN20" s="6"/>
      <c r="AO20" s="6"/>
      <c r="AP20" s="6"/>
      <c r="AQ20" s="6"/>
      <c r="AR20" s="6"/>
      <c r="AS20" s="6"/>
      <c r="AT20" s="6"/>
      <c r="AU20" s="6"/>
      <c r="AV20" s="6"/>
    </row>
    <row r="21" spans="1:48" ht="12.75" customHeight="1">
      <c r="A21" s="1" t="s">
        <v>139</v>
      </c>
      <c r="B21" s="1" t="s">
        <v>131</v>
      </c>
      <c r="C21" s="77" t="s">
        <v>41</v>
      </c>
      <c r="D21" s="7" t="s">
        <v>35</v>
      </c>
      <c r="E21" s="116">
        <v>3</v>
      </c>
      <c r="F21" s="116">
        <v>0</v>
      </c>
      <c r="G21" s="116">
        <v>25</v>
      </c>
      <c r="H21" s="116">
        <v>7</v>
      </c>
      <c r="I21" s="116">
        <v>25</v>
      </c>
      <c r="J21" s="116">
        <v>20</v>
      </c>
      <c r="K21" s="116">
        <v>25</v>
      </c>
      <c r="L21" s="116">
        <v>11</v>
      </c>
      <c r="M21" s="116">
        <v>0</v>
      </c>
      <c r="N21" s="116">
        <v>0</v>
      </c>
      <c r="O21" s="116">
        <v>0</v>
      </c>
      <c r="P21" s="116">
        <v>0</v>
      </c>
      <c r="Q21" s="1">
        <f>G21+I21+K21+M21+O21</f>
        <v>75</v>
      </c>
      <c r="R21" s="1">
        <f>H21+J21+L21+N21+P21</f>
        <v>38</v>
      </c>
      <c r="S21" s="5"/>
      <c r="T21" s="3"/>
      <c r="U21" s="3"/>
      <c r="V21" s="3"/>
      <c r="W21" s="3"/>
      <c r="X21" s="3"/>
      <c r="Y21" s="3"/>
      <c r="Z21" s="3"/>
      <c r="AA21" s="3"/>
      <c r="AB21" s="3"/>
      <c r="AC21" s="115"/>
      <c r="AD21" s="3"/>
      <c r="AE21" s="3"/>
      <c r="AF21" s="35"/>
      <c r="AG21" s="3"/>
      <c r="AH21" s="3"/>
      <c r="AI21" s="3"/>
      <c r="AJ21" s="3"/>
      <c r="AK21" s="3"/>
      <c r="AL21" s="3"/>
      <c r="AM21" s="5"/>
      <c r="AN21" s="6"/>
      <c r="AO21" s="6"/>
      <c r="AP21" s="6"/>
      <c r="AQ21" s="6"/>
      <c r="AR21" s="6"/>
      <c r="AS21" s="6"/>
      <c r="AT21" s="6"/>
      <c r="AU21" s="6"/>
      <c r="AV21" s="6"/>
    </row>
    <row r="22" spans="1:48" ht="12.75" customHeight="1">
      <c r="A22" s="1" t="s">
        <v>140</v>
      </c>
      <c r="B22" s="1" t="s">
        <v>131</v>
      </c>
      <c r="C22" s="77" t="s">
        <v>27</v>
      </c>
      <c r="D22" s="77" t="s">
        <v>46</v>
      </c>
      <c r="E22" s="116">
        <v>0</v>
      </c>
      <c r="F22" s="116">
        <v>3</v>
      </c>
      <c r="G22" s="116">
        <v>19</v>
      </c>
      <c r="H22" s="116">
        <v>25</v>
      </c>
      <c r="I22" s="116">
        <v>23</v>
      </c>
      <c r="J22" s="116">
        <v>25</v>
      </c>
      <c r="K22" s="116">
        <v>18</v>
      </c>
      <c r="L22" s="116">
        <v>25</v>
      </c>
      <c r="M22" s="116">
        <v>0</v>
      </c>
      <c r="N22" s="116">
        <v>0</v>
      </c>
      <c r="O22" s="116">
        <v>0</v>
      </c>
      <c r="P22" s="116">
        <v>0</v>
      </c>
      <c r="Q22" s="1">
        <f>G22+I22+K22+M22+O22</f>
        <v>60</v>
      </c>
      <c r="R22" s="1">
        <f>H22+J22+L22+N22+P22</f>
        <v>75</v>
      </c>
      <c r="S22" s="5"/>
      <c r="T22" s="3"/>
      <c r="U22" s="3"/>
      <c r="V22" s="3"/>
      <c r="W22" s="3"/>
      <c r="X22" s="3"/>
      <c r="Y22" s="3"/>
      <c r="Z22" s="3"/>
      <c r="AA22" s="3"/>
      <c r="AB22" s="3"/>
      <c r="AC22" s="115"/>
      <c r="AD22" s="3"/>
      <c r="AE22" s="3"/>
      <c r="AF22" s="35"/>
      <c r="AG22" s="3"/>
      <c r="AH22" s="3"/>
      <c r="AI22" s="3"/>
      <c r="AJ22" s="3"/>
      <c r="AK22" s="3"/>
      <c r="AL22" s="3"/>
      <c r="AM22" s="5"/>
      <c r="AN22" s="6"/>
      <c r="AO22" s="6"/>
      <c r="AP22" s="6"/>
      <c r="AQ22" s="6"/>
      <c r="AR22" s="6"/>
      <c r="AS22" s="6"/>
      <c r="AT22" s="6"/>
      <c r="AU22" s="6"/>
      <c r="AV22" s="6"/>
    </row>
    <row r="23" spans="1:48" ht="12.75" customHeight="1">
      <c r="A23" s="1" t="s">
        <v>141</v>
      </c>
      <c r="B23" s="1" t="s">
        <v>142</v>
      </c>
      <c r="C23" s="77" t="s">
        <v>41</v>
      </c>
      <c r="D23" s="7" t="s">
        <v>120</v>
      </c>
      <c r="E23" s="116">
        <v>1</v>
      </c>
      <c r="F23" s="116">
        <v>3</v>
      </c>
      <c r="G23" s="116">
        <v>22</v>
      </c>
      <c r="H23" s="116">
        <v>25</v>
      </c>
      <c r="I23" s="116">
        <v>25</v>
      </c>
      <c r="J23" s="116">
        <v>20</v>
      </c>
      <c r="K23" s="116">
        <v>29</v>
      </c>
      <c r="L23" s="116">
        <v>31</v>
      </c>
      <c r="M23" s="116">
        <v>17</v>
      </c>
      <c r="N23" s="116">
        <v>25</v>
      </c>
      <c r="O23" s="116">
        <v>0</v>
      </c>
      <c r="P23" s="116">
        <v>0</v>
      </c>
      <c r="Q23" s="1">
        <f>G23+I23+K23+M23+O23</f>
        <v>93</v>
      </c>
      <c r="R23" s="1">
        <f>H23+J23+L23+N23+P23</f>
        <v>101</v>
      </c>
      <c r="S23" s="5"/>
      <c r="T23" s="3"/>
      <c r="U23" s="3"/>
      <c r="V23" s="3"/>
      <c r="W23" s="3"/>
      <c r="X23" s="3"/>
      <c r="Y23" s="3"/>
      <c r="Z23" s="3"/>
      <c r="AA23" s="3"/>
      <c r="AB23" s="3"/>
      <c r="AC23" s="115"/>
      <c r="AD23" s="3"/>
      <c r="AE23" s="3"/>
      <c r="AF23" s="35"/>
      <c r="AG23" s="3"/>
      <c r="AH23" s="3"/>
      <c r="AI23" s="3"/>
      <c r="AJ23" s="3"/>
      <c r="AK23" s="3"/>
      <c r="AL23" s="3"/>
      <c r="AM23" s="5"/>
      <c r="AN23" s="6"/>
      <c r="AO23" s="6"/>
      <c r="AP23" s="6"/>
      <c r="AQ23" s="6"/>
      <c r="AR23" s="6"/>
      <c r="AS23" s="6"/>
      <c r="AT23" s="6"/>
      <c r="AU23" s="6"/>
      <c r="AV23" s="6"/>
    </row>
    <row r="24" spans="1:48" ht="12.75" customHeight="1">
      <c r="A24" s="1" t="s">
        <v>143</v>
      </c>
      <c r="B24" s="1" t="s">
        <v>142</v>
      </c>
      <c r="C24" s="7" t="s">
        <v>35</v>
      </c>
      <c r="D24" s="77" t="s">
        <v>46</v>
      </c>
      <c r="E24" s="116">
        <v>0</v>
      </c>
      <c r="F24" s="116">
        <v>3</v>
      </c>
      <c r="G24" s="116">
        <v>13</v>
      </c>
      <c r="H24" s="116">
        <v>25</v>
      </c>
      <c r="I24" s="116">
        <v>13</v>
      </c>
      <c r="J24" s="116">
        <v>25</v>
      </c>
      <c r="K24" s="116">
        <v>21</v>
      </c>
      <c r="L24" s="116">
        <v>25</v>
      </c>
      <c r="M24" s="116">
        <v>0</v>
      </c>
      <c r="N24" s="116">
        <v>0</v>
      </c>
      <c r="O24" s="116">
        <v>0</v>
      </c>
      <c r="P24" s="116">
        <v>0</v>
      </c>
      <c r="Q24" s="1">
        <f>G24+I24+K24+M24+O24</f>
        <v>47</v>
      </c>
      <c r="R24" s="1">
        <f>H24+J24+L24+N24+P24</f>
        <v>75</v>
      </c>
      <c r="S24" s="6"/>
      <c r="T24" s="6"/>
      <c r="U24" s="6"/>
      <c r="V24" s="6"/>
      <c r="W24" s="117"/>
      <c r="X24" s="117"/>
      <c r="Y24" s="117"/>
      <c r="Z24" s="117"/>
      <c r="AA24" s="117"/>
      <c r="AB24" s="117"/>
      <c r="AC24" s="118"/>
      <c r="AD24" s="117"/>
      <c r="AE24" s="117"/>
      <c r="AF24" s="119"/>
      <c r="AG24" s="117"/>
      <c r="AH24" s="117"/>
      <c r="AI24" s="117"/>
      <c r="AJ24" s="117"/>
      <c r="AK24" s="117"/>
      <c r="AL24" s="117"/>
      <c r="AM24" s="6"/>
      <c r="AN24" s="6"/>
      <c r="AO24" s="6"/>
      <c r="AP24" s="6"/>
      <c r="AQ24" s="6"/>
      <c r="AR24" s="6"/>
      <c r="AS24" s="6"/>
      <c r="AT24" s="6"/>
      <c r="AU24" s="6"/>
      <c r="AV24" s="6"/>
    </row>
    <row r="25" spans="1:48" ht="12.75" customHeight="1">
      <c r="A25" s="1" t="s">
        <v>144</v>
      </c>
      <c r="B25" s="1" t="s">
        <v>142</v>
      </c>
      <c r="C25" s="7" t="s">
        <v>120</v>
      </c>
      <c r="D25" s="7" t="s">
        <v>27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>
        <f>G25+I25+K25+M25+O25</f>
        <v>0</v>
      </c>
      <c r="R25" s="1">
        <f>H25+J25+L25+N25+P25</f>
        <v>0</v>
      </c>
      <c r="S25" s="6"/>
      <c r="T25" s="6"/>
      <c r="U25" s="6"/>
      <c r="V25" s="6"/>
      <c r="W25" s="117"/>
      <c r="X25" s="117"/>
      <c r="Y25" s="117"/>
      <c r="Z25" s="117"/>
      <c r="AA25" s="117"/>
      <c r="AB25" s="117"/>
      <c r="AC25" s="118"/>
      <c r="AD25" s="117"/>
      <c r="AE25" s="117"/>
      <c r="AF25" s="119"/>
      <c r="AG25" s="117"/>
      <c r="AH25" s="117"/>
      <c r="AI25" s="117"/>
      <c r="AJ25" s="117"/>
      <c r="AK25" s="117"/>
      <c r="AL25" s="117"/>
      <c r="AM25" s="6"/>
      <c r="AN25" s="6"/>
      <c r="AO25" s="6"/>
      <c r="AP25" s="6"/>
      <c r="AQ25" s="6"/>
      <c r="AR25" s="6"/>
      <c r="AS25" s="6"/>
      <c r="AT25" s="6"/>
      <c r="AU25" s="6"/>
      <c r="AV25" s="6"/>
    </row>
    <row r="26" spans="1:48" ht="12.75" customHeight="1">
      <c r="A26" s="1" t="s">
        <v>145</v>
      </c>
      <c r="B26" s="1" t="s">
        <v>142</v>
      </c>
      <c r="C26" s="7" t="s">
        <v>46</v>
      </c>
      <c r="D26" s="77" t="s">
        <v>41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>
        <f>G26+I26+K26+M26+O26</f>
        <v>0</v>
      </c>
      <c r="R26" s="1">
        <f>H26+J26+L26+N26+P26</f>
        <v>0</v>
      </c>
      <c r="S26" s="6"/>
      <c r="T26" s="6"/>
      <c r="U26" s="6"/>
      <c r="V26" s="6"/>
      <c r="W26" s="117"/>
      <c r="X26" s="117"/>
      <c r="Y26" s="117"/>
      <c r="Z26" s="117"/>
      <c r="AA26" s="117"/>
      <c r="AB26" s="117"/>
      <c r="AC26" s="118"/>
      <c r="AD26" s="117"/>
      <c r="AE26" s="117"/>
      <c r="AF26" s="119"/>
      <c r="AG26" s="117"/>
      <c r="AH26" s="117"/>
      <c r="AI26" s="117"/>
      <c r="AJ26" s="117"/>
      <c r="AK26" s="117"/>
      <c r="AL26" s="117"/>
      <c r="AM26" s="6"/>
      <c r="AN26" s="6"/>
      <c r="AO26" s="6"/>
      <c r="AP26" s="6"/>
      <c r="AQ26" s="6"/>
      <c r="AR26" s="6"/>
      <c r="AS26" s="6"/>
      <c r="AT26" s="6"/>
      <c r="AU26" s="6"/>
      <c r="AV26" s="6"/>
    </row>
    <row r="27" spans="1:48" ht="12.75" customHeight="1">
      <c r="A27" s="1" t="s">
        <v>146</v>
      </c>
      <c r="B27" s="1" t="s">
        <v>142</v>
      </c>
      <c r="C27" s="7" t="s">
        <v>120</v>
      </c>
      <c r="D27" s="77" t="s">
        <v>35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>
        <f>G27+I27+K27+M27+O27</f>
        <v>0</v>
      </c>
      <c r="R27" s="1">
        <f>H27+J27+L27+N27+P27</f>
        <v>0</v>
      </c>
      <c r="S27" s="6"/>
      <c r="T27" s="6"/>
      <c r="U27" s="6"/>
      <c r="V27" s="6"/>
      <c r="W27" s="117"/>
      <c r="X27" s="117"/>
      <c r="Y27" s="117"/>
      <c r="Z27" s="117"/>
      <c r="AA27" s="117"/>
      <c r="AB27" s="117"/>
      <c r="AC27" s="118"/>
      <c r="AD27" s="117"/>
      <c r="AE27" s="117"/>
      <c r="AF27" s="119"/>
      <c r="AG27" s="117"/>
      <c r="AH27" s="117"/>
      <c r="AI27" s="117"/>
      <c r="AJ27" s="117"/>
      <c r="AK27" s="117"/>
      <c r="AL27" s="117"/>
      <c r="AM27" s="6"/>
      <c r="AN27" s="6"/>
      <c r="AO27" s="6"/>
      <c r="AP27" s="6"/>
      <c r="AQ27" s="6"/>
      <c r="AR27" s="6"/>
      <c r="AS27" s="6"/>
      <c r="AT27" s="6"/>
      <c r="AU27" s="6"/>
      <c r="AV27" s="6"/>
    </row>
    <row r="28" spans="1:48" ht="12.75" customHeight="1">
      <c r="A28" s="1" t="s">
        <v>147</v>
      </c>
      <c r="B28" s="1" t="s">
        <v>142</v>
      </c>
      <c r="C28" s="7" t="s">
        <v>27</v>
      </c>
      <c r="D28" s="77" t="s">
        <v>41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>
        <f>G28+I28+K28+M28+O28</f>
        <v>0</v>
      </c>
      <c r="R28" s="1">
        <f>H28+J28+L28+N28+P28</f>
        <v>0</v>
      </c>
      <c r="S28" s="6"/>
      <c r="T28" s="6"/>
      <c r="U28" s="6"/>
      <c r="V28" s="6"/>
      <c r="W28" s="117"/>
      <c r="X28" s="117"/>
      <c r="Y28" s="117"/>
      <c r="Z28" s="117"/>
      <c r="AA28" s="117"/>
      <c r="AB28" s="117"/>
      <c r="AC28" s="118"/>
      <c r="AD28" s="117"/>
      <c r="AE28" s="117"/>
      <c r="AF28" s="119"/>
      <c r="AG28" s="117"/>
      <c r="AH28" s="117"/>
      <c r="AI28" s="117"/>
      <c r="AJ28" s="117"/>
      <c r="AK28" s="117"/>
      <c r="AL28" s="117"/>
      <c r="AM28" s="6"/>
      <c r="AN28" s="6"/>
      <c r="AO28" s="6"/>
      <c r="AP28" s="6"/>
      <c r="AQ28" s="6"/>
      <c r="AR28" s="6"/>
      <c r="AS28" s="6"/>
      <c r="AT28" s="6"/>
      <c r="AU28" s="6"/>
      <c r="AV28" s="6"/>
    </row>
    <row r="29" spans="1:48" ht="12.75" customHeight="1">
      <c r="A29" s="1" t="s">
        <v>148</v>
      </c>
      <c r="B29" s="1" t="s">
        <v>142</v>
      </c>
      <c r="C29" s="77" t="s">
        <v>46</v>
      </c>
      <c r="D29" s="7" t="s">
        <v>120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>
        <f>G29+I29+K29+M29+O29</f>
        <v>0</v>
      </c>
      <c r="R29" s="1">
        <f>H29+J29+L29+N29+P29</f>
        <v>0</v>
      </c>
      <c r="S29" s="6"/>
      <c r="T29" s="6"/>
      <c r="U29" s="6"/>
      <c r="V29" s="6"/>
      <c r="W29" s="117"/>
      <c r="X29" s="117"/>
      <c r="Y29" s="117"/>
      <c r="Z29" s="117"/>
      <c r="AA29" s="117"/>
      <c r="AB29" s="117"/>
      <c r="AC29" s="118"/>
      <c r="AD29" s="117"/>
      <c r="AE29" s="117"/>
      <c r="AF29" s="119"/>
      <c r="AG29" s="117"/>
      <c r="AH29" s="117"/>
      <c r="AI29" s="117"/>
      <c r="AJ29" s="117"/>
      <c r="AK29" s="117"/>
      <c r="AL29" s="117"/>
      <c r="AM29" s="6"/>
      <c r="AN29" s="6"/>
      <c r="AO29" s="6"/>
      <c r="AP29" s="6"/>
      <c r="AQ29" s="6"/>
      <c r="AR29" s="6"/>
      <c r="AS29" s="6"/>
      <c r="AT29" s="6"/>
      <c r="AU29" s="6"/>
      <c r="AV29" s="6"/>
    </row>
    <row r="30" spans="1:48" ht="12.75" customHeight="1">
      <c r="A30" s="1" t="s">
        <v>149</v>
      </c>
      <c r="B30" s="1" t="s">
        <v>142</v>
      </c>
      <c r="C30" s="77" t="s">
        <v>35</v>
      </c>
      <c r="D30" s="77" t="s">
        <v>27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>
        <f>G30+I30+K30+M30+O30</f>
        <v>0</v>
      </c>
      <c r="R30" s="1">
        <f>H30+J30+L30+N30+P30</f>
        <v>0</v>
      </c>
      <c r="S30" s="6"/>
      <c r="T30" s="6"/>
      <c r="U30" s="6"/>
      <c r="V30" s="6"/>
      <c r="W30" s="117"/>
      <c r="X30" s="117"/>
      <c r="Y30" s="117"/>
      <c r="Z30" s="117"/>
      <c r="AA30" s="117"/>
      <c r="AB30" s="117"/>
      <c r="AC30" s="118"/>
      <c r="AD30" s="117"/>
      <c r="AE30" s="117"/>
      <c r="AF30" s="119"/>
      <c r="AG30" s="117"/>
      <c r="AH30" s="117"/>
      <c r="AI30" s="117"/>
      <c r="AJ30" s="117"/>
      <c r="AK30" s="117"/>
      <c r="AL30" s="117"/>
      <c r="AM30" s="6"/>
      <c r="AN30" s="6"/>
      <c r="AO30" s="6"/>
      <c r="AP30" s="6"/>
      <c r="AQ30" s="6"/>
      <c r="AR30" s="6"/>
      <c r="AS30" s="6"/>
      <c r="AT30" s="6"/>
      <c r="AU30" s="6"/>
      <c r="AV30" s="6"/>
    </row>
    <row r="31" spans="1:48" ht="12.75" customHeight="1">
      <c r="A31" s="1" t="s">
        <v>150</v>
      </c>
      <c r="B31" s="1" t="s">
        <v>142</v>
      </c>
      <c r="C31" s="77" t="s">
        <v>41</v>
      </c>
      <c r="D31" s="7" t="s">
        <v>35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>
        <f>G31+I31+K31+M31+O31</f>
        <v>0</v>
      </c>
      <c r="R31" s="1">
        <f>H31+J31+L31+N31+P31</f>
        <v>0</v>
      </c>
      <c r="S31" s="6"/>
      <c r="T31" s="6"/>
      <c r="U31" s="6"/>
      <c r="V31" s="6"/>
      <c r="W31" s="117"/>
      <c r="X31" s="117"/>
      <c r="Y31" s="117"/>
      <c r="Z31" s="117"/>
      <c r="AA31" s="117"/>
      <c r="AB31" s="117"/>
      <c r="AC31" s="118"/>
      <c r="AD31" s="117"/>
      <c r="AE31" s="117"/>
      <c r="AF31" s="119"/>
      <c r="AG31" s="117"/>
      <c r="AH31" s="117"/>
      <c r="AI31" s="117"/>
      <c r="AJ31" s="117"/>
      <c r="AK31" s="117"/>
      <c r="AL31" s="117"/>
      <c r="AM31" s="6"/>
      <c r="AN31" s="6"/>
      <c r="AO31" s="6"/>
      <c r="AP31" s="6"/>
      <c r="AQ31" s="6"/>
      <c r="AR31" s="6"/>
      <c r="AS31" s="6"/>
      <c r="AT31" s="6"/>
      <c r="AU31" s="6"/>
      <c r="AV31" s="6"/>
    </row>
    <row r="32" spans="1:48" ht="12.75" customHeight="1">
      <c r="A32" s="1" t="s">
        <v>151</v>
      </c>
      <c r="B32" s="1" t="s">
        <v>142</v>
      </c>
      <c r="C32" s="77" t="s">
        <v>27</v>
      </c>
      <c r="D32" s="77" t="s">
        <v>46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>
        <f>G32+I32+K32+M32+O32</f>
        <v>0</v>
      </c>
      <c r="R32" s="1">
        <f>H32+J32+L32+N32+P32</f>
        <v>0</v>
      </c>
      <c r="S32" s="6"/>
      <c r="T32" s="6"/>
      <c r="U32" s="6"/>
      <c r="V32" s="6"/>
      <c r="W32" s="117"/>
      <c r="X32" s="117"/>
      <c r="Y32" s="117"/>
      <c r="Z32" s="117"/>
      <c r="AA32" s="117"/>
      <c r="AB32" s="117"/>
      <c r="AC32" s="118"/>
      <c r="AD32" s="117"/>
      <c r="AE32" s="117"/>
      <c r="AF32" s="119"/>
      <c r="AG32" s="117"/>
      <c r="AH32" s="117"/>
      <c r="AI32" s="117"/>
      <c r="AJ32" s="117"/>
      <c r="AK32" s="117"/>
      <c r="AL32" s="117"/>
      <c r="AM32" s="6"/>
      <c r="AN32" s="6"/>
      <c r="AO32" s="6"/>
      <c r="AP32" s="6"/>
      <c r="AQ32" s="6"/>
      <c r="AR32" s="6"/>
      <c r="AS32" s="6"/>
      <c r="AT32" s="6"/>
      <c r="AU32" s="6"/>
      <c r="AV32" s="6"/>
    </row>
    <row r="33" spans="1:48" ht="12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117"/>
      <c r="X33" s="117"/>
      <c r="Y33" s="117"/>
      <c r="Z33" s="117"/>
      <c r="AA33" s="117"/>
      <c r="AB33" s="117"/>
      <c r="AC33" s="118"/>
      <c r="AD33" s="117"/>
      <c r="AE33" s="117"/>
      <c r="AF33" s="119"/>
      <c r="AG33" s="117"/>
      <c r="AH33" s="117"/>
      <c r="AI33" s="117"/>
      <c r="AJ33" s="117"/>
      <c r="AK33" s="117"/>
      <c r="AL33" s="117"/>
      <c r="AM33" s="6"/>
      <c r="AN33" s="6"/>
      <c r="AO33" s="6"/>
      <c r="AP33" s="6"/>
      <c r="AQ33" s="6"/>
      <c r="AR33" s="6"/>
      <c r="AS33" s="6"/>
      <c r="AT33" s="6"/>
      <c r="AU33" s="6"/>
      <c r="AV33" s="6"/>
    </row>
  </sheetData>
  <sheetProtection/>
  <mergeCells count="14">
    <mergeCell ref="Q2:R2"/>
    <mergeCell ref="C1:D1"/>
    <mergeCell ref="E2:F2"/>
    <mergeCell ref="M2:N2"/>
    <mergeCell ref="G2:H2"/>
    <mergeCell ref="I2:J2"/>
    <mergeCell ref="K2:L2"/>
    <mergeCell ref="O2:P2"/>
    <mergeCell ref="E1:F1"/>
    <mergeCell ref="AA1:AC1"/>
    <mergeCell ref="W1:Z1"/>
    <mergeCell ref="AG1:AL1"/>
    <mergeCell ref="AD1:AF1"/>
    <mergeCell ref="G1:R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45"/>
  <sheetViews>
    <sheetView showGridLines="0" zoomScalePageLayoutView="0" workbookViewId="0" topLeftCell="A1">
      <selection activeCell="A1" sqref="A1"/>
    </sheetView>
  </sheetViews>
  <sheetFormatPr defaultColWidth="14.421875" defaultRowHeight="15" customHeight="1"/>
  <cols>
    <col min="1" max="1" width="7.28125" style="0" customWidth="1"/>
    <col min="2" max="2" width="11.7109375" style="0" customWidth="1"/>
    <col min="3" max="3" width="25.8515625" style="0" customWidth="1"/>
    <col min="4" max="4" width="26.8515625" style="0" customWidth="1"/>
    <col min="5" max="18" width="5.7109375" style="0" customWidth="1"/>
    <col min="19" max="19" width="4.140625" style="0" customWidth="1"/>
    <col min="20" max="20" width="3.28125" style="0" customWidth="1"/>
    <col min="21" max="21" width="21.140625" style="0" customWidth="1"/>
    <col min="22" max="22" width="7.140625" style="0" customWidth="1"/>
    <col min="23" max="23" width="5.28125" style="0" customWidth="1"/>
    <col min="24" max="24" width="4.8515625" style="0" customWidth="1"/>
    <col min="25" max="25" width="4.421875" style="0" customWidth="1"/>
    <col min="26" max="26" width="5.00390625" style="0" customWidth="1"/>
    <col min="27" max="27" width="5.140625" style="0" customWidth="1"/>
    <col min="28" max="28" width="5.00390625" style="0" customWidth="1"/>
    <col min="29" max="29" width="5.421875" style="0" customWidth="1"/>
    <col min="30" max="31" width="5.28125" style="0" customWidth="1"/>
    <col min="32" max="32" width="5.421875" style="0" customWidth="1"/>
    <col min="33" max="33" width="5.00390625" style="0" customWidth="1"/>
    <col min="34" max="34" width="4.8515625" style="0" customWidth="1"/>
    <col min="35" max="35" width="4.421875" style="0" customWidth="1"/>
    <col min="36" max="37" width="4.8515625" style="0" customWidth="1"/>
    <col min="38" max="38" width="5.140625" style="0" customWidth="1"/>
    <col min="39" max="48" width="11.421875" style="0" customWidth="1"/>
  </cols>
  <sheetData>
    <row r="1" spans="1:48" ht="12.75" customHeight="1">
      <c r="A1" s="1"/>
      <c r="B1" s="1"/>
      <c r="C1" s="159" t="s">
        <v>0</v>
      </c>
      <c r="D1" s="143"/>
      <c r="E1" s="158"/>
      <c r="F1" s="143"/>
      <c r="G1" s="159" t="s">
        <v>1</v>
      </c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3"/>
      <c r="S1" s="3"/>
      <c r="T1" s="4"/>
      <c r="U1" s="4" t="s">
        <v>3</v>
      </c>
      <c r="V1" s="4" t="s">
        <v>3</v>
      </c>
      <c r="W1" s="157" t="s">
        <v>4</v>
      </c>
      <c r="X1" s="142"/>
      <c r="Y1" s="142"/>
      <c r="Z1" s="143"/>
      <c r="AA1" s="156" t="s">
        <v>5</v>
      </c>
      <c r="AB1" s="142"/>
      <c r="AC1" s="143"/>
      <c r="AD1" s="156" t="s">
        <v>6</v>
      </c>
      <c r="AE1" s="142"/>
      <c r="AF1" s="143"/>
      <c r="AG1" s="156" t="s">
        <v>7</v>
      </c>
      <c r="AH1" s="142"/>
      <c r="AI1" s="142"/>
      <c r="AJ1" s="142"/>
      <c r="AK1" s="142"/>
      <c r="AL1" s="143"/>
      <c r="AM1" s="5"/>
      <c r="AN1" s="6"/>
      <c r="AO1" s="6"/>
      <c r="AP1" s="6"/>
      <c r="AQ1" s="6"/>
      <c r="AR1" s="6"/>
      <c r="AS1" s="6"/>
      <c r="AT1" s="6"/>
      <c r="AU1" s="6"/>
      <c r="AV1" s="6"/>
    </row>
    <row r="2" spans="1:48" ht="12.75" customHeight="1">
      <c r="A2" s="7" t="s">
        <v>8</v>
      </c>
      <c r="B2" s="7" t="s">
        <v>9</v>
      </c>
      <c r="C2" s="7" t="s">
        <v>10</v>
      </c>
      <c r="D2" s="7" t="s">
        <v>11</v>
      </c>
      <c r="E2" s="159" t="s">
        <v>5</v>
      </c>
      <c r="F2" s="143"/>
      <c r="G2" s="160">
        <v>1</v>
      </c>
      <c r="H2" s="143"/>
      <c r="I2" s="159">
        <v>2</v>
      </c>
      <c r="J2" s="143"/>
      <c r="K2" s="160">
        <v>3</v>
      </c>
      <c r="L2" s="143"/>
      <c r="M2" s="159">
        <v>4</v>
      </c>
      <c r="N2" s="143"/>
      <c r="O2" s="160">
        <v>5</v>
      </c>
      <c r="P2" s="143"/>
      <c r="Q2" s="159" t="s">
        <v>12</v>
      </c>
      <c r="R2" s="143"/>
      <c r="S2" s="3"/>
      <c r="T2" s="4" t="s">
        <v>13</v>
      </c>
      <c r="U2" s="4" t="s">
        <v>14</v>
      </c>
      <c r="V2" s="4" t="s">
        <v>6</v>
      </c>
      <c r="W2" s="8" t="s">
        <v>12</v>
      </c>
      <c r="X2" s="9" t="s">
        <v>15</v>
      </c>
      <c r="Y2" s="9" t="s">
        <v>16</v>
      </c>
      <c r="Z2" s="4" t="s">
        <v>17</v>
      </c>
      <c r="AA2" s="9" t="s">
        <v>15</v>
      </c>
      <c r="AB2" s="4" t="s">
        <v>16</v>
      </c>
      <c r="AC2" s="21" t="s">
        <v>18</v>
      </c>
      <c r="AD2" s="9" t="s">
        <v>15</v>
      </c>
      <c r="AE2" s="4" t="s">
        <v>16</v>
      </c>
      <c r="AF2" s="21" t="s">
        <v>18</v>
      </c>
      <c r="AG2" s="114" t="s">
        <v>19</v>
      </c>
      <c r="AH2" s="114" t="s">
        <v>20</v>
      </c>
      <c r="AI2" s="114" t="s">
        <v>21</v>
      </c>
      <c r="AJ2" s="114" t="s">
        <v>22</v>
      </c>
      <c r="AK2" s="114" t="s">
        <v>23</v>
      </c>
      <c r="AL2" s="114" t="s">
        <v>24</v>
      </c>
      <c r="AM2" s="5"/>
      <c r="AN2" s="6"/>
      <c r="AO2" s="6"/>
      <c r="AP2" s="6"/>
      <c r="AQ2" s="6"/>
      <c r="AR2" s="6"/>
      <c r="AS2" s="6"/>
      <c r="AT2" s="6"/>
      <c r="AU2" s="6"/>
      <c r="AV2" s="6"/>
    </row>
    <row r="3" spans="1:48" ht="12.75" customHeight="1">
      <c r="A3" s="1" t="s">
        <v>152</v>
      </c>
      <c r="B3" s="1" t="s">
        <v>32</v>
      </c>
      <c r="C3" s="7" t="s">
        <v>44</v>
      </c>
      <c r="D3" s="77" t="s">
        <v>33</v>
      </c>
      <c r="E3" s="1">
        <v>1</v>
      </c>
      <c r="F3" s="1">
        <v>3</v>
      </c>
      <c r="G3" s="1">
        <v>12</v>
      </c>
      <c r="H3" s="1">
        <v>25</v>
      </c>
      <c r="I3" s="1">
        <v>25</v>
      </c>
      <c r="J3" s="1">
        <v>21</v>
      </c>
      <c r="K3" s="1">
        <v>22</v>
      </c>
      <c r="L3" s="1">
        <v>25</v>
      </c>
      <c r="M3" s="1">
        <v>23</v>
      </c>
      <c r="N3" s="1">
        <v>25</v>
      </c>
      <c r="O3" s="1">
        <v>0</v>
      </c>
      <c r="P3" s="1">
        <v>0</v>
      </c>
      <c r="Q3" s="1">
        <f>G3+I3+K3+M3+O3</f>
        <v>82</v>
      </c>
      <c r="R3" s="1">
        <f>H3+J3+L3+N3+P3</f>
        <v>96</v>
      </c>
      <c r="S3" s="5"/>
      <c r="T3" s="7">
        <v>1</v>
      </c>
      <c r="U3" s="11" t="s">
        <v>42</v>
      </c>
      <c r="V3" s="2">
        <f aca="true" t="shared" si="0" ref="V3:V9">AG3*3+AH3*3+AI3*2+AJ3*1</f>
        <v>24</v>
      </c>
      <c r="W3" s="1">
        <f aca="true" t="shared" si="1" ref="W3:W9">X3+Y3+Z3</f>
        <v>8</v>
      </c>
      <c r="X3" s="13">
        <f>COUNTIF($F$6,"=3")+COUNTIF($E$9,"=3")+COUNTIF($E$12,"=3")+COUNTIF($F$15,"=3")+COUNTIF($E$18,"=3")+COUNTIF($F$21,"=3")+COUNTIF($E$27,"=3")+COUNTIF($F$30,"=3")+COUNTIF($F$33,"=3")+COUNTIF($E$36,"=3")+COUNTIF($F$39,"=3")+COUNTIF($E$42,"=3")</f>
        <v>8</v>
      </c>
      <c r="Y3" s="13">
        <f>SUM(IF($F$6&lt;$E$6,1,0))+SUM(IF($E$9&lt;$F$9,1,0))+SUM(IF($E$12&lt;$F$12,1,0))+SUM(IF($F$15&lt;$E$15,1,0))+SUM(IF($E$18&lt;$F$18,1,0))+SUM(IF($F$21&lt;$E$21,1,0))+SUM(IF($F$21&lt;$E$21,1,0))+SUM(IF($E$27&lt;$F$27,1,0))+SUM(IF($F$30&lt;$E$30,1,0))+SUM(IF($F$33&lt;$E$33,1,0))+SUM(IF($E$36&lt;$F$36,1,0))+SUM(IF($F$39&lt;$E$39,1,0))+SUM(IF($E$42&lt;$F$42,1,0))</f>
        <v>0</v>
      </c>
      <c r="Z3" s="18"/>
      <c r="AA3" s="13">
        <f>$F$6+$E$9+$E$12+$F$15+$E$18+$F$21+$E$27+$F$30+$F$33+$E$36+$F$39+$E$42</f>
        <v>24</v>
      </c>
      <c r="AB3" s="13">
        <f>$E$6+$F$9+$F$12+$E$15+$F$18+$E$21+$F$27+$E$30+$E$33+$F$36+$E$39+$F$42</f>
        <v>1</v>
      </c>
      <c r="AC3" s="23">
        <f aca="true" t="shared" si="2" ref="AC3:AC9">IF(AB3=0,"MAX",AA3/AB3)</f>
        <v>24</v>
      </c>
      <c r="AD3" s="13">
        <f>$R$6+$Q$9+$Q$12+$R$15+$Q$18+$R$21+$Q$27+$R$30+$R$33+$Q$36+$R$39+$Q$42</f>
        <v>621</v>
      </c>
      <c r="AE3" s="13">
        <f>$Q$6+$R$9+$R$12+$Q$15+$R$18+$Q$21+$R$27+$Q$30+$Q$33+$R$36+$Q$39+$R$42</f>
        <v>306</v>
      </c>
      <c r="AF3" s="23">
        <f aca="true" t="shared" si="3" ref="AF3:AF9">IF(AE3=0,"MAX",AD3/AE3)</f>
        <v>2.0294117647058822</v>
      </c>
      <c r="AG3" s="13">
        <f>SUM(IF(AND($F$6=3,$E$6=0),1,0))+SUM(IF(AND($E$9=3,$F$9=0),1,0))+SUM(IF(AND($E$12=3,$F$12=0),1,0))+SUM(IF(AND($F$15=3,$E$15=0),1,0))+SUM(IF(AND($E$18=3,$F$18=0),1,0))+SUM(IF(AND($F$21=3,$E$21=0),1,0))+SUM(IF(AND($E$27=3,$F$27=0),1,0))+SUM(IF(AND($F$30=3,$E$30=0),1,0))+SUM(IF(AND($F$33=3,$E$33=0),1,0))+SUM(IF(AND($E$36=3,$F$36=0),1,0))+SUM(IF(AND($F$39=3,$E$39=0),1,0))+SUM(IF(AND($E$42=3,$F$42=0),1,0))</f>
        <v>7</v>
      </c>
      <c r="AH3" s="13">
        <f>SUM(IF(AND($F$6=3,$E$6=1),1,0))+SUM(IF(AND($E$9=3,$F$9=1),1,0))+SUM(IF(AND($E$12=3,$F$12=1),1,0))+SUM(IF(AND($F$15=3,$E$15=1),1,0))+SUM(IF(AND($E$18=3,$F$18=1),1,0))+SUM(IF(AND($F$21=3,$E$21=1),1,0))+SUM(IF(AND($E$27=3,$F$27=1),1,0))+SUM(IF(AND($F$30=3,$E$30=1),1,0))+SUM(IF(AND($F$33=3,$E$33=1),1,0))+SUM(IF(AND($E$36=3,$F$36=1),1,0))+SUM(IF(AND($F$39=3,$E$39=1),1,0))+SUM(IF(AND($E$42=3,$F$42=1),1,0))</f>
        <v>1</v>
      </c>
      <c r="AI3" s="13">
        <f>SUM(IF(AND($F$6=3,$E$6=2),1,0))+SUM(IF(AND($E$9=3,$F$9=2),1,0))+SUM(IF(AND($E$12=3,$F$12=2),1,0))+SUM(IF(AND($F$15=3,$E$15=2),1,0))+SUM(IF(AND($E$18=3,$F$18=2),1,0))+SUM(IF(AND($F$21=3,$E$21=2),1,0))+SUM(IF(AND($E$27=3,$F$27=2),1,0))+SUM(IF(AND($F$30=3,$E$30=2),1,0))+SUM(IF(AND($F$33=3,$E$33=2),1,0))+SUM(IF(AND($E$36=3,$F$36=2),1,0))+SUM(IF(AND($F$39=3,$E$39=2),1,0))+SUM(IF(AND($E$42=3,$F$42=2),1,0))</f>
        <v>0</v>
      </c>
      <c r="AJ3" s="13">
        <f>SUM(IF(AND($F$6=2,$E$6=3),1,0))+SUM(IF(AND($E$9=2,$F$9=3),1,0))+SUM(IF(AND($E$12=2,$F$12=3),1,0))+SUM(IF(AND($F$15=2,$E$15=3),1,0))+SUM(IF(AND($E$18=2,$F$18=3),1,0))+SUM(IF(AND($F$21=2,$E$21=3),1,0))+SUM(IF(AND($E$27=2,$F$27=3),1,0))+SUM(IF(AND($F$30=2,$E$30=3),1,0))+SUM(IF(AND($F$33=2,$E$33=3),1,0))+SUM(IF(AND($E$36=2,$F$36=3),1,0))+SUM(IF(AND($F$39=2,$E$39=3),1,0))+SUM(IF(AND($E$42=2,$F$42=3),1,0))</f>
        <v>0</v>
      </c>
      <c r="AK3" s="13">
        <f>SUM(IF(AND($F$6=1,$E$6=3),1,0))+SUM(IF(AND($E$9=1,$F$9=3),1,0))+SUM(IF(AND($E$12=1,$F$12=3),1,0))+SUM(IF(AND($F$15=1,$E$15=3),1,0))+SUM(IF(AND($E$18=1,$F$18=3),1,0))+SUM(IF(AND($F$21=1,$E$21=3),1,0))+SUM(IF(AND($E$27=1,$F$27=3),1,0))+SUM(IF(AND($F$30=1,$E$30=3),1,0))+SUM(IF(AND($F$33=1,$E$33=3),1,0))+SUM(IF(AND($E$36=1,$F$36=3),1,0))+SUM(IF(AND($F$39=1,$E$39=3),1,0))+SUM(IF(AND($E$42=1,$F$42=3),1,0))</f>
        <v>0</v>
      </c>
      <c r="AL3" s="13">
        <f>SUM(IF(AND($F$6=0,$E$6=3),1,0))+SUM(IF(AND($E$9=0,$F$9=3),1,0))+SUM(IF(AND($E$12=0,$F$12=3),1,0))+SUM(IF(AND($F$15=0,$E$15=3),1,0))+SUM(IF(AND($E$18=0,$F$18=3),1,0))+SUM(IF(AND($F$21=0,$E$21=3),1,0))+SUM(IF(AND($E$27=0,$F$27=3),1,0))+SUM(IF(AND($F$30=0,$E$30=3),1,0))+SUM(IF(AND($F$33=0,$E$33=3),1,0))+SUM(IF(AND($E$36=0,$F$36=3),1,0))+SUM(IF(AND($F$39=0,$E$39=3),1,0))+SUM(IF(AND($E$42=0,$F$42=3),1,0))</f>
        <v>0</v>
      </c>
      <c r="AM3" s="5"/>
      <c r="AN3" s="6"/>
      <c r="AO3" s="6"/>
      <c r="AP3" s="6"/>
      <c r="AQ3" s="6"/>
      <c r="AR3" s="6"/>
      <c r="AS3" s="6"/>
      <c r="AT3" s="6"/>
      <c r="AU3" s="6"/>
      <c r="AV3" s="6"/>
    </row>
    <row r="4" spans="1:48" ht="12.75" customHeight="1">
      <c r="A4" s="1" t="s">
        <v>153</v>
      </c>
      <c r="B4" s="1" t="s">
        <v>32</v>
      </c>
      <c r="C4" s="77" t="s">
        <v>39</v>
      </c>
      <c r="D4" s="7" t="s">
        <v>154</v>
      </c>
      <c r="E4" s="1">
        <v>3</v>
      </c>
      <c r="F4" s="1">
        <v>0</v>
      </c>
      <c r="G4" s="1">
        <v>25</v>
      </c>
      <c r="H4" s="1">
        <v>13</v>
      </c>
      <c r="I4" s="1">
        <v>25</v>
      </c>
      <c r="J4" s="1">
        <v>4</v>
      </c>
      <c r="K4" s="1">
        <v>25</v>
      </c>
      <c r="L4" s="1">
        <v>10</v>
      </c>
      <c r="M4" s="1">
        <v>0</v>
      </c>
      <c r="N4" s="1">
        <v>0</v>
      </c>
      <c r="O4" s="1">
        <v>0</v>
      </c>
      <c r="P4" s="1">
        <v>0</v>
      </c>
      <c r="Q4" s="1">
        <f>G4+I4+K4+M4+O4</f>
        <v>75</v>
      </c>
      <c r="R4" s="1">
        <f>H4+J4+L4+N4+P4</f>
        <v>27</v>
      </c>
      <c r="S4" s="5"/>
      <c r="T4" s="120">
        <v>2</v>
      </c>
      <c r="U4" s="7" t="s">
        <v>155</v>
      </c>
      <c r="V4" s="2">
        <f t="shared" si="0"/>
        <v>20</v>
      </c>
      <c r="W4" s="1">
        <f t="shared" si="1"/>
        <v>9</v>
      </c>
      <c r="X4" s="13">
        <f>COUNTIF($E$5,"=3")+COUNTIF($F$8,"=3")+COUNTIF($E$11,"=3")+COUNTIF($E$15,"=3")+COUNTIF($F$19,"=3")+COUNTIF($F$22,"=3")+COUNTIF($F$26,"=3")+COUNTIF($E$29,"=3")+COUNTIF($F$32,"=3")+COUNTIF($F$36,"=3")+COUNTIF($E$40,"=3")+COUNTIF($E$43,"=3")</f>
        <v>6</v>
      </c>
      <c r="Y4" s="13">
        <f>SUM(IF($E$5&lt;$F$5,1,0))+SUM(IF($F$8&lt;$E$8,1,0))+SUM(IF($E$11&lt;$F$11,1,0))+SUM(IF($E$15&lt;$F$15,1,0))+SUM(IF($F$19&lt;$E$19,1,0))+SUM(IF($F$22&lt;$E$22,1,0))+SUM(IF($F$26&lt;$E$26,1,0))+SUM(IF($E$29&lt;$F$29,1,0))+SUM(IF($F$32&lt;$E$32,1,0))+SUM(IF($F$36&lt;$E$36,1,0))+SUM(IF($E$40&lt;$F$40,1,0))+SUM(IF($E$43&lt;$F$43,1,0))</f>
        <v>3</v>
      </c>
      <c r="Z4" s="18"/>
      <c r="AA4" s="13">
        <f>$E$5+$F$8+$E$11+$E$15+$F$19+$F$22+$F$26+$E$29+$F$32+$F$36+$E$40+$E$43</f>
        <v>22</v>
      </c>
      <c r="AB4" s="13">
        <f>$F$5+$E$8+$F$11+$F$15+$E$19+$E$22+$E$26+$F$29+$E$32+$E$36+$F$40+$F$43</f>
        <v>10</v>
      </c>
      <c r="AC4" s="23">
        <f t="shared" si="2"/>
        <v>2.2</v>
      </c>
      <c r="AD4" s="13">
        <f>$Q$5+$R$8+$Q$11+$Q$15+$R$19+$R$22+$R$26+$Q$29+$R$32+$R$36+$Q$40+$Q$43</f>
        <v>689</v>
      </c>
      <c r="AE4" s="13">
        <f>$R$5+$Q$8+$R$11+$R$15+$Q$19+$Q$22+$Q$26+$R$29+$Q$32+$Q$36+$R$40+$R$43</f>
        <v>554</v>
      </c>
      <c r="AF4" s="23">
        <f t="shared" si="3"/>
        <v>1.243682310469314</v>
      </c>
      <c r="AG4" s="13">
        <f>SUM(IF(AND($E$5=3,$F$5=0),1,0))+SUM(IF(AND($F$8=3,$E$8=0),1,0))+SUM(IF(AND($E$11=3,$F$11=0),1,0))+SUM(IF(AND($E$15=3,$F$15=0),1,0))+SUM(IF(AND($F$19=3,$E$19=0),1,0))+SUM(IF(AND($F$22=3,$E$22=0),1,0))+SUM(IF(AND($F$26=3,$E$26=0),1,0))+SUM(IF(AND($E$29=3,$F$29=0),1,0))+SUM(IF(AND($F$32=3,$E$32=0),1,0))+SUM(IF(AND($F$36=3,$E$36=0),1,0))+SUM(IF(AND($E$40=3,$F$40=0),1,0))+SUM(IF(AND($E$43=3,$F$43=0),1,0))</f>
        <v>5</v>
      </c>
      <c r="AH4" s="13">
        <f>SUM(IF(AND($E$5=3,$F$5=1),1,0))+SUM(IF(AND($F$8=3,$E$8=1),1,0))+SUM(IF(AND($E$11=3,$F$11=1),1,0))+SUM(IF(AND($E$15=3,$F$15=1),1,0))+SUM(IF(AND($F$19=3,$E$19=1),1,0))+SUM(IF(AND($F$22=3,$E$22=1),1,0))+SUM(IF(AND($F$26=3,$E$26=1),1,0))+SUM(IF(AND($E$29=3,$F$29=1),1,0))+SUM(IF(AND($F$32=3,$E$32=1),1,0))+SUM(IF(AND($F$36=3,$E$36=1),1,0))+SUM(IF(AND($E$40=3,$F$40=1),1,0))+SUM(IF(AND($E$43=3,$F$43=1),1,0))</f>
        <v>1</v>
      </c>
      <c r="AI4" s="13">
        <f>SUM(IF(AND($E$5=3,$F$5=2),1,0))+SUM(IF(AND($F$8=3,$E$8=2),1,0))+SUM(IF(AND($E$11=3,$F$11=2),1,0))+SUM(IF(AND($E$15=3,$F$15=2),1,0))+SUM(IF(AND($F$19=3,$E$19=2),1,0))+SUM(IF(AND($F$22=3,$E$22=2),1,0))+SUM(IF(AND($F$26=3,$E$26=2),1,0))+SUM(IF(AND($E$29=3,$F$29=2),1,0))+SUM(IF(AND($F$32=3,$E$32=2),1,0))+SUM(IF(AND($F$36=3,$E$36=2),1,0))+SUM(IF(AND($E$40=3,$F$40=2),1,0))+SUM(IF(AND($E$43=3,$F$43=2),1,0))</f>
        <v>0</v>
      </c>
      <c r="AJ4" s="13">
        <f>SUM(IF(AND($E$5=2,$F$5=3),1,0))+SUM(IF(AND($F$8=2,$E$8=3),1,0))+SUM(IF(AND($E$11=2,$F$11=3),1,0))+SUM(IF(AND($E$15=2,$F$15=3),1,0))+SUM(IF(AND($F$19=2,$E$19=3),1,0))+SUM(IF(AND($F$22=2,$E$22=3),1,0))+SUM(IF(AND($F$26=2,$E$26=3),1,0))+SUM(IF(AND($E$29=2,$F$29=3),1,0))+SUM(IF(AND($F$32=2,$E$32=3),1,0))+SUM(IF(AND($F$36=2,$E$36=3),1,0))+SUM(IF(AND($E$40=2,$F$40=3),1,0))+SUM(IF(AND($E$43=2,$F$43=3),1,0))</f>
        <v>2</v>
      </c>
      <c r="AK4" s="13">
        <f>SUM(IF(AND($E$5=1,$F$5=3),1,0))+SUM(IF(AND($F$8=1,$E$8=3),1,0))+SUM(IF(AND($E$11=1,$F$11=3),1,0))+SUM(IF(AND($E$15=1,$F$15=3),1,0))+SUM(IF(AND($F$19=1,$E$19=3),1,0))+SUM(IF(AND($F$22=1,$E$22=3),1,0))+SUM(IF(AND($F$26=1,$E$26=3),1,0))+SUM(IF(AND($E$29=1,$F$29=3),1,0))+SUM(IF(AND($F$32=1,$E$32=3),1,0))+SUM(IF(AND($F$36=1,$E$36=3),1,0))+SUM(IF(AND($E$40=1,$F$40=3),1,0))+SUM(IF(AND($E$43=1,$F$43=3),1,0))</f>
        <v>0</v>
      </c>
      <c r="AL4" s="13">
        <f>SUM(IF(AND($E$5=0,$F$5=3),1,0))+SUM(IF(AND($F$8=0,$E$8=3),1,0))+SUM(IF(AND($E$11=0,$F$11=3),1,0))+SUM(IF(AND($E$15=0,$F$15=3),1,0))+SUM(IF(AND($F$19=0,$E$19=3),1,0))+SUM(IF(AND($F$22=0,$E$22=3),1,0))+SUM(IF(AND($F$26=0,$E$26=3),1,0))+SUM(IF(AND($E$29=0,$F$29=3),1,0))+SUM(IF(AND($F$32=0,$E$32=3),1,0))+SUM(IF(AND($F$36=0,$E$36=3),1,0))+SUM(IF(AND($E$40=0,$F$40=3),1,0))+SUM(IF(AND($E$43=0,$F$43=3),1,0))</f>
        <v>1</v>
      </c>
      <c r="AM4" s="5"/>
      <c r="AN4" s="6"/>
      <c r="AO4" s="6"/>
      <c r="AP4" s="6"/>
      <c r="AQ4" s="6"/>
      <c r="AR4" s="6"/>
      <c r="AS4" s="6"/>
      <c r="AT4" s="6"/>
      <c r="AU4" s="6"/>
      <c r="AV4" s="6"/>
    </row>
    <row r="5" spans="1:48" ht="12.75" customHeight="1">
      <c r="A5" s="1" t="s">
        <v>156</v>
      </c>
      <c r="B5" s="1" t="s">
        <v>32</v>
      </c>
      <c r="C5" s="7" t="s">
        <v>155</v>
      </c>
      <c r="D5" s="77" t="s">
        <v>36</v>
      </c>
      <c r="E5" s="1">
        <v>2</v>
      </c>
      <c r="F5" s="1">
        <v>3</v>
      </c>
      <c r="G5" s="1">
        <v>21</v>
      </c>
      <c r="H5" s="1">
        <v>25</v>
      </c>
      <c r="I5" s="1">
        <v>20</v>
      </c>
      <c r="J5" s="1">
        <v>25</v>
      </c>
      <c r="K5" s="1">
        <v>25</v>
      </c>
      <c r="L5" s="1">
        <v>19</v>
      </c>
      <c r="M5" s="1">
        <v>25</v>
      </c>
      <c r="N5" s="1">
        <v>23</v>
      </c>
      <c r="O5" s="1">
        <v>11</v>
      </c>
      <c r="P5" s="1">
        <v>15</v>
      </c>
      <c r="Q5" s="1">
        <f>G5+I5+K5+M5+O5</f>
        <v>102</v>
      </c>
      <c r="R5" s="1">
        <f>H5+J5+L5+N5+P5</f>
        <v>107</v>
      </c>
      <c r="S5" s="5"/>
      <c r="T5" s="120">
        <v>3</v>
      </c>
      <c r="U5" s="7" t="s">
        <v>36</v>
      </c>
      <c r="V5" s="2">
        <f t="shared" si="0"/>
        <v>18</v>
      </c>
      <c r="W5" s="1">
        <f t="shared" si="1"/>
        <v>9</v>
      </c>
      <c r="X5" s="13">
        <f>COUNTIF($F$5,"=3")+COUNTIF($E$7,"=3")+COUNTIF($E$10,"=3")+COUNTIF($F$12,"=3")+COUNTIF($F$20,"=3")+COUNTIF($E$23,"=3")+COUNTIF($E$26,"=3")+COUNTIF($F$28,"=3")+COUNTIF($F$31,"=3")+COUNTIF($E$33,"=3")+COUNTIF($E$41,"=3")+COUNTIF($F$44,"=3")</f>
        <v>6</v>
      </c>
      <c r="Y5" s="13">
        <f>SUM(IF($F$5&lt;$E$5,1,0))+SUM(IF($E$7&lt;$F$7,1,0))+SUM(IF($E$10&lt;$F$10,1,0))+SUM(IF($F$12&lt;$E$12,1,0))+SUM(IF($F$20&lt;$E$20,1,0))+SUM(IF($E$23&lt;$F$23,1,0))+SUM(IF($E$26&lt;$F$26,1,0))+SUM(IF($F$28&lt;$E$28,1,0))+SUM(IF($F$31&lt;$E$31,1,0))+SUM(IF($E$33&lt;$F$33,1,0))+SUM(IF($E$41&lt;$F$41,1,0))+SUM(IF($F$44&lt;$E$44,1,0))</f>
        <v>3</v>
      </c>
      <c r="Z5" s="18"/>
      <c r="AA5" s="13">
        <f>$F$5+$E$7+$E$10+$F$12+$F$20+$E$23+$E$26+$F$28+$F$31+$E$33+$E$41+$F$44</f>
        <v>20</v>
      </c>
      <c r="AB5" s="13">
        <f>$E$5+$F$7+$F$10+$E$12+$E$20+$F$23+$F$26+$E$28+$E$31+$F$33+$F$41+$E$44</f>
        <v>12</v>
      </c>
      <c r="AC5" s="23">
        <f t="shared" si="2"/>
        <v>1.6666666666666667</v>
      </c>
      <c r="AD5" s="13">
        <f>$R$5+$Q$7+$Q$10+$R$12+$R$20+$Q$23+$Q$26+$R$28+$R$31+$Q$33+$Q$41+$R$44</f>
        <v>667</v>
      </c>
      <c r="AE5" s="13">
        <f>$Q$5+$R$7+$R$10+$Q$12+$Q$20+$R$23+$R$26+$Q$28+$Q$31+$R$33+$R$41+$Q$44</f>
        <v>620</v>
      </c>
      <c r="AF5" s="23">
        <f t="shared" si="3"/>
        <v>1.0758064516129033</v>
      </c>
      <c r="AG5" s="13">
        <f>SUM(IF(AND($F$5=3,$E$5=0),1,0))+SUM(IF(AND($E$7=3,$F$7=0),1,0))+SUM(IF(AND($E$10=3,$F$10=0),1,0))+SUM(IF(AND($F$12=3,$E$12=0),1,0))+SUM(IF(AND($F$20=3,$E$20=0),1,0))+SUM(IF(AND($E$23=3,$F$23=0),1,0))+SUM(IF(AND($E$26=3,$F$26=0),1,0))+SUM(IF(AND($F$28=3,$E$28=0),1,0))+SUM(IF(AND($F$31=3,$E$31=0),1,0))+SUM(IF(AND($E$33=3,$F$33=0),1,0))+SUM(IF(AND($E$41=3,$F$41=0),1,0))+SUM(IF(AND($F$44=3,$E$44=0),1,0))</f>
        <v>4</v>
      </c>
      <c r="AH5" s="13">
        <f>SUM(IF(AND($F$5=3,$E$5=1),1,0))+SUM(IF(AND($E$7=3,$F$7=1),1,0))+SUM(IF(AND($E$10=3,$F$10=1),1,0))+SUM(IF(AND($F$12=3,$E$12=1),1,0))+SUM(IF(AND($F$20=3,$E$20=1),1,0))+SUM(IF(AND($E$23=3,$F$23=1),1,0))+SUM(IF(AND($E$26=3,$F$26=1),1,0))+SUM(IF(AND($F$28=3,$E$28=1),1,0))+SUM(IF(AND($F$31=3,$E$31=1),1,0))+SUM(IF(AND($E$33=3,$F$33=1),1,0))+SUM(IF(AND($E$41=3,$F$41=1),1,0))+SUM(IF(AND($F$44=3,$E$44=1),1,0))</f>
        <v>1</v>
      </c>
      <c r="AI5" s="13">
        <f>SUM(IF(AND($F$5=3,$E$5=2),1,0))+SUM(IF(AND($E$7=3,$F$7=2),1,0))+SUM(IF(AND($E$10=3,$F$10=2),1,0))+SUM(IF(AND($F$12=3,$E$12=2),1,0))+SUM(IF(AND($F$20=3,$E$20=2),1,0))+SUM(IF(AND($E$23=3,$F$23=2),1,0))+SUM(IF(AND($E$26=3,$F$26=2),1,0))+SUM(IF(AND($F$28=3,$E$28=2),1,0))+SUM(IF(AND($F$31=3,$E$31=2),1,0))+SUM(IF(AND($E$33=3,$F$33=2),1,0))+SUM(IF(AND($E$41=3,$F$41=2),1,0))+SUM(IF(AND($F$44=3,$E$44=2),1,0))</f>
        <v>1</v>
      </c>
      <c r="AJ5" s="13">
        <f>SUM(IF(AND($F$5=2,$E$5=3),1,0))+SUM(IF(AND($E$7=2,$F$7=3),1,0))+SUM(IF(AND($E$10=2,$F$10=3),1,0))+SUM(IF(AND($F$12=2,$E$12=3),1,0))+SUM(IF(AND($F$20=2,$E$20=3),1,0))+SUM(IF(AND($E$23=2,$F$23=3),1,0))+SUM(IF(AND($E$26=2,$F$26=3),1,0))+SUM(IF(AND($F$28=2,$E$28=3),1,0))+SUM(IF(AND($F$31=2,$E$31=3),1,0))+SUM(IF(AND($E$33=2,$F$33=3),1,0))+SUM(IF(AND($E$41=2,$F$41=3),1,0))+SUM(IF(AND($F$44=2,$E$44=3),1,0))</f>
        <v>1</v>
      </c>
      <c r="AK5" s="13">
        <f>SUM(IF(AND($F$5=1,$E$5=1),1,0))+SUM(IF(AND($E$7=1,$F$7=3),1,0))+SUM(IF(AND($E$10=1,$F$10=3),1,0))+SUM(IF(AND($F$12=1,$E$12=3),1,0))+SUM(IF(AND($F$20=1,$E$20=3),1,0))+SUM(IF(AND($E$23=1,$F$23=3),1,0))+SUM(IF(AND($E$26=1,$F$26=3),1,0))+SUM(IF(AND($F$28=1,$E$28=3),1,0))+SUM(IF(AND($F$31=1,$E$31=3),1,0))+SUM(IF(AND($E$33=1,$F$33=3),1,0))+SUM(IF(AND($E$41=1,$F$41=3),1,0))+SUM(IF(AND($F$44=1,$E$44=3),1,0))</f>
        <v>0</v>
      </c>
      <c r="AL5" s="13">
        <f>SUM(IF(AND($F$5=0,$E$5=1),1,0))+SUM(IF(AND($E$7=0,$F$7=3),1,0))+SUM(IF(AND($E$10=0,$F$10=3),1,0))+SUM(IF(AND($F$12=0,$E$12=3),1,0))+SUM(IF(AND($F$20=0,$E$20=3),1,0))+SUM(IF(AND($E$23=0,$F$23=3),1,0))+SUM(IF(AND($E$26=0,$F$26=3),1,0))+SUM(IF(AND($F$28=0,$E$28=3),1,0))+SUM(IF(AND($F$31=0,$E$31=3),1,0))+SUM(IF(AND($E$33=0,$F$33=3),1,0))+SUM(IF(AND($E$41=0,$F$41=3),1,0))+SUM(IF(AND($F$44=0,$E$44=3),1,0))</f>
        <v>2</v>
      </c>
      <c r="AM5" s="5"/>
      <c r="AN5" s="6"/>
      <c r="AO5" s="6"/>
      <c r="AP5" s="6"/>
      <c r="AQ5" s="6"/>
      <c r="AR5" s="6"/>
      <c r="AS5" s="6"/>
      <c r="AT5" s="6"/>
      <c r="AU5" s="6"/>
      <c r="AV5" s="6"/>
    </row>
    <row r="6" spans="1:48" ht="12.75" customHeight="1">
      <c r="A6" s="1" t="s">
        <v>157</v>
      </c>
      <c r="B6" s="1" t="s">
        <v>32</v>
      </c>
      <c r="C6" s="77" t="s">
        <v>33</v>
      </c>
      <c r="D6" s="77" t="s">
        <v>42</v>
      </c>
      <c r="E6" s="1">
        <v>1</v>
      </c>
      <c r="F6" s="1">
        <v>3</v>
      </c>
      <c r="G6" s="1">
        <v>25</v>
      </c>
      <c r="H6" s="1">
        <v>19</v>
      </c>
      <c r="I6" s="1">
        <v>16</v>
      </c>
      <c r="J6" s="1">
        <v>25</v>
      </c>
      <c r="K6" s="1">
        <v>20</v>
      </c>
      <c r="L6" s="1">
        <v>25</v>
      </c>
      <c r="M6" s="1">
        <v>15</v>
      </c>
      <c r="N6" s="1">
        <v>25</v>
      </c>
      <c r="O6" s="1">
        <v>0</v>
      </c>
      <c r="P6" s="1">
        <v>0</v>
      </c>
      <c r="Q6" s="1">
        <f>G6+I6+K6+M6+O6</f>
        <v>76</v>
      </c>
      <c r="R6" s="1">
        <f>H6+J6+L6+N6+P6</f>
        <v>94</v>
      </c>
      <c r="S6" s="5"/>
      <c r="T6" s="120">
        <v>4</v>
      </c>
      <c r="U6" s="7" t="s">
        <v>33</v>
      </c>
      <c r="V6" s="2">
        <f t="shared" si="0"/>
        <v>12</v>
      </c>
      <c r="W6" s="1">
        <f t="shared" si="1"/>
        <v>9</v>
      </c>
      <c r="X6" s="13">
        <f>COUNTIF($F$3,"=3")+COUNTIF($E$6,"=3")+COUNTIF($F$11,"=3")+COUNTIF($E$14,"=3")+COUNTIF($F$17,"=3")+COUNTIF($E$20,"=3")+COUNTIF($E$24,"=3")+COUNTIF($F$27,"=3")+COUNTIF($E$32,"=3")+COUNTIF($F$35,"=3")+COUNTIF($E$38,"=3")+COUNTIF($F$41,"=3")</f>
        <v>4</v>
      </c>
      <c r="Y6" s="13">
        <f>SUM(IF($F$3&lt;$E$3,1,0))+SUM(IF($E$6&lt;$F$6,1,0))+SUM(IF($F$11&lt;$E$11,1,0))+SUM(IF($E$14&lt;$F$14,1,0))+SUM(IF($F$17&lt;$E$17,1,0))+SUM(IF($E$20&lt;$F$20,1,0))+SUM(IF($E$24&lt;$F$24,1,0))+SUM(IF($F$27&lt;$E$27,1,0))+SUM(IF($E$32&lt;$F$32,1,0))+SUM(IF($F$35&lt;$E$35,1,0))+SUM(IF($E$38&lt;$F$38,1,0))+SUM(IF($F$41&lt;$E$41,1,0))</f>
        <v>5</v>
      </c>
      <c r="Z6" s="18"/>
      <c r="AA6" s="13">
        <f>$F$3+$E$6+$F$11+$E$14+$F$17+$E$20+$E$24+$F$27+$E$32+$F$35+$E$38+$F$41</f>
        <v>14</v>
      </c>
      <c r="AB6" s="13">
        <f>$E$3+$F$6+$E$11+$F$14+$E$17+$F$20+$F$24+$E$27+$F$32+$E$35+$F$38+$E$41</f>
        <v>18</v>
      </c>
      <c r="AC6" s="23">
        <f t="shared" si="2"/>
        <v>0.7777777777777778</v>
      </c>
      <c r="AD6" s="13">
        <f>$R$3+$Q$6+$R$11+$Q$14+$R$17+$Q$20+$Q$24+$R$27+$Q$32+$R$35+$Q$38+$R$41</f>
        <v>672</v>
      </c>
      <c r="AE6" s="13">
        <f>$Q$3+$R$6+$Q$11+$R$14+$Q$17+$R$20+$R$24+$Q$27+$R$32+$Q$35+$R$38+$Q$41</f>
        <v>680</v>
      </c>
      <c r="AF6" s="23">
        <f t="shared" si="3"/>
        <v>0.9882352941176471</v>
      </c>
      <c r="AG6" s="13">
        <f>SUM(IF(AND($F$3=3,$E$3=0),1,0))+SUM(IF(AND($E$6=3,$F$6=0),1,0))+SUM(IF(AND($F$11=3,$E$11=0),1,0))+SUM(IF(AND($E$14=3,$F$14=0),1,0))+SUM(IF(AND($F$17=3,$E$17=0),1,0))+SUM(IF(AND($E$20=3,$F$20=0),1,0))+SUM(IF(AND($E$24=3,$F$24=0),1,0))+SUM(IF(AND($F$27=3,$E$27=0),1,0))+SUM(IF(AND($E$32=3,$F$32=0),1,0))+SUM(IF(AND($F$35=3,$E$35=0),1,0))+SUM(IF(AND($E$38=3,$F$38=0),1,0))+SUM(IF(AND($F$41=3,$E$41=0),1,0))</f>
        <v>1</v>
      </c>
      <c r="AH6" s="13">
        <f>SUM(IF(AND($F$3=3,$E$3=0),1,1))+SUM(IF(AND($E$6=3,$F$6=1),1,0))+SUM(IF(AND($F$11=3,$E$11=1),1,0))+SUM(IF(AND($E$14=3,$F$14=1),1,0))+SUM(IF(AND($F$17=3,$E$17=1),1,0))+SUM(IF(AND($E$20=3,$F$20=1),1,0))+SUM(IF(AND($E$24=3,$F$24=1),1,0))+SUM(IF(AND($F$27=3,$E$27=1),1,0))+SUM(IF(AND($E$32=3,$F$32=1),1,0))+SUM(IF(AND($F$35=3,$E$35=1),1,0))+SUM(IF(AND($E$38=3,$F$38=1),1,0))+SUM(IF(AND($F$41=3,$E$41=0),1,0))</f>
        <v>3</v>
      </c>
      <c r="AI6" s="13">
        <f>SUM(IF(AND($F$3=3,$E$3=2),1,0))+SUM(IF(AND($E$6=3,$F$6=2),1,0))+SUM(IF(AND($F$11=3,$E$11=2),1,0))+SUM(IF(AND($E$14=3,$F$14=2),1,0))+SUM(IF(AND($F$17=3,$E$17=2),1,0))+SUM(IF(AND($E$20=3,$F$20=2),1,0))+SUM(IF(AND($E$24=3,$F$24=2),1,0))+SUM(IF(AND($F$27=3,$E$27=2),1,0))+SUM(IF(AND($E$32=3,$F$32=2),1,0))+SUM(IF(AND($F$35=3,$E$35=2),1,0))+SUM(IF(AND($E$38=3,$F$38=2),1,0))+SUM(IF(AND($F$41=3,$E$41=2),1,0))</f>
        <v>0</v>
      </c>
      <c r="AJ6" s="13">
        <f>SUM(IF(AND($F$3=2,$E$3=3),1,0))+SUM(IF(AND($E$6=2,$F$6=3),1,0))+SUM(IF(AND($F$11=2,$E$11=3),1,0))+SUM(IF(AND($E$14=2,$F$14=3),1,0))+SUM(IF(AND($F$17=2,$E$17=3),1,0))+SUM(IF(AND($E$20=2,$F$20=3),1,0))+SUM(IF(AND($E$24=2,$F$24=3),1,0))+SUM(IF(AND($F$27=2,$E$27=3),1,0))+SUM(IF(AND($E$32=2,$F$32=3),1,0))+SUM(IF(AND($F$35=2,$E$35=3),1,0))+SUM(IF(AND($E$38=2,$F$38=3),1,0))+SUM(IF(AND($F$41=2,$E$41=3),1,0))</f>
        <v>0</v>
      </c>
      <c r="AK6" s="13">
        <f>SUM(IF(AND($F$3=1,$E$3=3),1,0))+SUM(IF(AND($E$6=1,$F$6=3),1,0))+SUM(IF(AND($F$11=1,$E$11=3),1,0))+SUM(IF(AND($E$14=1,$F$14=3),1,0))+SUM(IF(AND($F$17=1,$E$17=3),1,0))+SUM(IF(AND($E$20=1,$F$20=3),1,0))+SUM(IF(AND($E$24=1,$F$24=3),1,0))+SUM(IF(AND($F$27=1,$E$27=3),1,0))+SUM(IF(AND($E$32=1,$F$32=3),1,0))+SUM(IF(AND($F$35=1,$E$35=3),1,0))+SUM(IF(AND($E$38=1,$F$38=3),1,0))+SUM(IF(AND($F$41=1,$E$41=3),1,0))</f>
        <v>2</v>
      </c>
      <c r="AL6" s="13">
        <f>SUM(IF(AND($F$3=0,$E$3=3),1,0))+SUM(IF(AND($E$6=0,$F$6=3),1,0))+SUM(IF(AND($F$11=0,$E$11=3),1,0))+SUM(IF(AND($E$14=0,$F$14=3),1,0))+SUM(IF(AND($F$17=0,$E$17=3),1,0))+SUM(IF(AND($E$20=0,$F$20=3),1,0))+SUM(IF(AND($E$24=0,$F$24=3),1,0))+SUM(IF(AND($F$27=0,$E$27=3),1,0))+SUM(IF(AND($E$32=0,$F$32=3),1,0))+SUM(IF(AND($F$35=0,$E$35=3),1,0))+SUM(IF(AND($E$38=0,$F$38=3),1,0))+SUM(IF(AND($F$41=0,$E$41=3),1,0))</f>
        <v>3</v>
      </c>
      <c r="AM6" s="5"/>
      <c r="AN6" s="6"/>
      <c r="AO6" s="6"/>
      <c r="AP6" s="6"/>
      <c r="AQ6" s="6"/>
      <c r="AR6" s="6"/>
      <c r="AS6" s="6"/>
      <c r="AT6" s="6"/>
      <c r="AU6" s="6"/>
      <c r="AV6" s="6"/>
    </row>
    <row r="7" spans="1:48" ht="12.75" customHeight="1">
      <c r="A7" s="1" t="s">
        <v>158</v>
      </c>
      <c r="B7" s="1" t="s">
        <v>32</v>
      </c>
      <c r="C7" s="77" t="s">
        <v>36</v>
      </c>
      <c r="D7" s="7" t="s">
        <v>39</v>
      </c>
      <c r="E7" s="1">
        <v>2</v>
      </c>
      <c r="F7" s="1">
        <v>3</v>
      </c>
      <c r="G7" s="1">
        <v>25</v>
      </c>
      <c r="H7" s="1">
        <v>19</v>
      </c>
      <c r="I7" s="1">
        <v>11</v>
      </c>
      <c r="J7" s="1">
        <v>25</v>
      </c>
      <c r="K7" s="1">
        <v>25</v>
      </c>
      <c r="L7" s="1">
        <v>22</v>
      </c>
      <c r="M7" s="1">
        <v>14</v>
      </c>
      <c r="N7" s="1">
        <v>25</v>
      </c>
      <c r="O7" s="1">
        <v>14</v>
      </c>
      <c r="P7" s="1">
        <v>16</v>
      </c>
      <c r="Q7" s="1">
        <f>G7+I7+K7+M7+O7</f>
        <v>89</v>
      </c>
      <c r="R7" s="1">
        <f>H7+J7+L7+N7+P7</f>
        <v>107</v>
      </c>
      <c r="S7" s="5"/>
      <c r="T7" s="7">
        <v>5</v>
      </c>
      <c r="U7" s="7" t="s">
        <v>39</v>
      </c>
      <c r="V7" s="2">
        <f t="shared" si="0"/>
        <v>10</v>
      </c>
      <c r="W7" s="1">
        <f t="shared" si="1"/>
        <v>7</v>
      </c>
      <c r="X7" s="13">
        <f>COUNTIF($E$4,"=3")+COUNTIF($F$7,"=3")+COUNTIF($F$14,"=3")+COUNTIF($E$16,"=3")+COUNTIF($F$18,"=3")+COUNTIF($E$22,"=3")+COUNTIF($F$25,"=3")+COUNTIF($E$28,"=3")+COUNTIF($E$35,"=3")+COUNTIF($F$37,"=3")+COUNTIF($E$39,"=3")+COUNTIF($E$43,"=3")</f>
        <v>4</v>
      </c>
      <c r="Y7" s="13">
        <f>SUM(IF($E$4&lt;$F$4,1,0))+SUM(IF($F$7&lt;$E$7,1,0))+SUM(IF($F$14&lt;$E$14,1,0))+SUM(IF($E$16&lt;$F$16,1,0))+SUM(IF($F$18&lt;$E$18,1,0))+SUM(IF($E$22&lt;$F$22,1,0))+SUM(IF($F$25&lt;$E$25,1,0))+SUM(IF($E$28&lt;$F$28,1,0))+SUM(IF($E$35&lt;$F$35,1,0))+SUM(IF($F$37&lt;$E$37,1,0))+SUM(IF($E$39&lt;$F$39,1,0))+SUM(IF($E$43&lt;$F$43,1,0))</f>
        <v>3</v>
      </c>
      <c r="Z7" s="18"/>
      <c r="AA7" s="13">
        <f>$E$4+$F$7+$F$14+$E$16+$F$18+$E$22+$F$25+$E$28+$E$35+$F$37+$E$39+$E$43</f>
        <v>13</v>
      </c>
      <c r="AB7" s="13">
        <f>$F$4+$E$7+$E$14+$F$16+$E$18+$F$22+$E$25+$F$28+$F$35+$E$37+$F$39+$F$43</f>
        <v>13</v>
      </c>
      <c r="AC7" s="23">
        <f t="shared" si="2"/>
        <v>1</v>
      </c>
      <c r="AD7" s="13">
        <f>$Q$4+$R$7+$R$14+$Q$16+$R$18+$Q$22+$R$25+$Q$28+$Q$35+$R$37+$Q$39+$Q$43</f>
        <v>553</v>
      </c>
      <c r="AE7" s="13">
        <f>$R$4+$Q$7+$Q$14+$R$16+$Q$18+$R$22+$Q$25+$R$28+$R$35+$Q$37+$R$39+$R$43</f>
        <v>503</v>
      </c>
      <c r="AF7" s="23">
        <f t="shared" si="3"/>
        <v>1.099403578528827</v>
      </c>
      <c r="AG7" s="13">
        <f>SUM(IF(AND($E$4=3,$F$4=0),1,0))+SUM(IF(AND($F$7=3,$E$7=0),1,0))+SUM(IF(AND($F$14=3,$E$14=0),1,0))+SUM(IF(AND($E$16=3,$F$16=0),1,0))+SUM(IF(AND($F$18=3,$E$18=0),1,0))+SUM(IF(AND($E$22=3,$F$22=0),1,0))+SUM(IF(AND($F$25=3,$E$25=0),1,0))+SUM(IF(AND($E$28=3,$F$28=0),1,0))+SUM(IF(AND($E$28=3,$F$28=0),1,0))+SUM(IF(AND($E$35=3,$F$35=0),1,0))+SUM(IF(AND($F$37=3,$E$37=0),1,0))+SUM(IF(AND($E$39=3,$F$39=0),1,0))+SUM(IF(AND($E$43=3,$F$43=0),1,0))</f>
        <v>2</v>
      </c>
      <c r="AH7" s="13">
        <f>SUM(IF(AND($E$4=3,$F$4=1),1,0))+SUM(IF(AND($F$7=3,$E$7=1),1,0))+SUM(IF(AND($F$14=3,$E$14=1),1,0))+SUM(IF(AND($E$16=3,$F$16=1),1,0))+SUM(IF(AND($F$18=3,$E$18=1),1,0))+SUM(IF(AND($E$22=3,$F$22=1),1,0))+SUM(IF(AND($F$25=3,$E$25=1),1,0))+SUM(IF(AND($E$28=3,$F$28=1),1,0))+SUM(IF(AND($E$28=3,$F$28=1),1,0))+SUM(IF(AND($E$35=3,$F$35=1),1,0))+SUM(IF(AND($F$37=3,$E$37=1),1,0))+SUM(IF(AND($E$39=3,$F$39=1),1,0))+SUM(IF(AND($E$43=3,$F$43=1),1,0))</f>
        <v>0</v>
      </c>
      <c r="AI7" s="13">
        <f>SUM(IF(AND($E$4=3,$F$4=2),1,0))+SUM(IF(AND($F$7=3,$E$7=2),1,0))+SUM(IF(AND($F$14=3,$E$14=2),1,0))+SUM(IF(AND($E$16=3,$F$16=2),1,0))+SUM(IF(AND($F$18=3,$E$18=2),1,0))+SUM(IF(AND($E$22=3,$F$22=2),1,0))+SUM(IF(AND($F$25=3,$E$25=2),1,0))+SUM(IF(AND($E$28=3,$F$28=2),1,0))+SUM(IF(AND($E$28=3,$F$28=2),1,0))+SUM(IF(AND($E$35=3,$F$35=2),1,0))+SUM(IF(AND($F$37=3,$E$37=2),1,0))+SUM(IF(AND($E$39=3,$F$39=2),1,0))+SUM(IF(AND($E$43=3,$F$43=2),1,0))</f>
        <v>2</v>
      </c>
      <c r="AJ7" s="13">
        <f>SUM(IF(AND($E$4=2,$F$4=3),1,0))+SUM(IF(AND($F$7=2,$E$7=3),1,0))+SUM(IF(AND($F$14=2,$E$14=3),1,0))+SUM(IF(AND($E$16=2,$F$16=3),1,0))+SUM(IF(AND($F$18=2,$E$18=3),1,0))+SUM(IF(AND($E$22=2,$F$22=3),1,0))+SUM(IF(AND($F$25=2,$E$25=3),1,0))+SUM(IF(AND($E$28=2,$F$28=3),1,0))+SUM(IF(AND($E$28=2,$F$28=3),1,0))+SUM(IF(AND($E$35=2,$F$35=3),1,0))+SUM(IF(AND($F$37=2,$E$37=3),1,0))+SUM(IF(AND($E$39=2,$F$39=3),1,0))+SUM(IF(AND($E$43=2,$F$43=3),1,0))</f>
        <v>0</v>
      </c>
      <c r="AK7" s="13">
        <f>SUM(IF(AND($E$4=1,$F$4=3),1,0))+SUM(IF(AND($F$7=1,$E$7=3),1,0))+SUM(IF(AND($F$14=1,$E$14=3),1,0))+SUM(IF(AND($E$16=1,$F$16=3),1,0))+SUM(IF(AND($F$18=1,$E$18=3),1,0))+SUM(IF(AND($E$22=1,$F$22=3),1,0))+SUM(IF(AND($F$25=1,$E$25=3),1,0))+SUM(IF(AND($E$28=1,$F$28=3),1,0))+SUM(IF(AND($E$28=1,$F$28=3),1,0))+SUM(IF(AND($E$35=1,$F$35=3),1,0))+SUM(IF(AND($F$37=1,$E$37=3),1,0))+SUM(IF(AND($E$39=1,$F$39=3),1,0))+SUM(IF(AND($E$43=1,$F$43=3),1,0))</f>
        <v>1</v>
      </c>
      <c r="AL7" s="13">
        <f>SUM(IF(AND($E$4=0,$F$4=3),1,0))+SUM(IF(AND($F$7=0,$E$7=3),1,0))+SUM(IF(AND($F$14=0,$E$14=3),1,0))+SUM(IF(AND($E$16=0,$F$16=3),1,0))+SUM(IF(AND($F$18=0,$E$18=3),1,0))+SUM(IF(AND($E$22=0,$F$22=3),1,0))+SUM(IF(AND($F$25=0,$E$25=3),1,0))+SUM(IF(AND($E$28=0,$F$28=3),1,0))+SUM(IF(AND($E$28=0,$F$28=3),1,0))+SUM(IF(AND($E$35=0,$F$35=3),1,0))+SUM(IF(AND($F$37=0,$E$37=3),1,0))+SUM(IF(AND($E$39=0,$F$39=3),1,0))+SUM(IF(AND($E$43=0,$F$43=3),1,0))</f>
        <v>3</v>
      </c>
      <c r="AM7" s="5"/>
      <c r="AN7" s="6"/>
      <c r="AO7" s="6"/>
      <c r="AP7" s="6"/>
      <c r="AQ7" s="6"/>
      <c r="AR7" s="6"/>
      <c r="AS7" s="6"/>
      <c r="AT7" s="6"/>
      <c r="AU7" s="6"/>
      <c r="AV7" s="6"/>
    </row>
    <row r="8" spans="1:48" ht="12.75" customHeight="1">
      <c r="A8" s="1" t="s">
        <v>159</v>
      </c>
      <c r="B8" s="1" t="s">
        <v>32</v>
      </c>
      <c r="C8" s="77" t="s">
        <v>154</v>
      </c>
      <c r="D8" s="7" t="s">
        <v>155</v>
      </c>
      <c r="E8" s="1">
        <v>0</v>
      </c>
      <c r="F8" s="1">
        <v>3</v>
      </c>
      <c r="G8" s="1">
        <v>5</v>
      </c>
      <c r="H8" s="1">
        <v>25</v>
      </c>
      <c r="I8" s="1">
        <v>5</v>
      </c>
      <c r="J8" s="1">
        <v>25</v>
      </c>
      <c r="K8" s="1">
        <v>7</v>
      </c>
      <c r="L8" s="1">
        <v>25</v>
      </c>
      <c r="M8" s="1">
        <v>0</v>
      </c>
      <c r="N8" s="1">
        <v>0</v>
      </c>
      <c r="O8" s="1">
        <v>0</v>
      </c>
      <c r="P8" s="1">
        <v>0</v>
      </c>
      <c r="Q8" s="1">
        <f>G8+I8+K8+M8+O8</f>
        <v>17</v>
      </c>
      <c r="R8" s="1">
        <f>H8+J8+L8+N8+P8</f>
        <v>75</v>
      </c>
      <c r="S8" s="5"/>
      <c r="T8" s="7">
        <v>6</v>
      </c>
      <c r="U8" s="7" t="s">
        <v>44</v>
      </c>
      <c r="V8" s="2">
        <f t="shared" si="0"/>
        <v>3</v>
      </c>
      <c r="W8" s="1">
        <f t="shared" si="1"/>
        <v>8</v>
      </c>
      <c r="X8" s="13">
        <f>COUNTIF($E$3,"=3")+COUNTIF($F$10,"=3")+COUNTIF($F$13,"=3")+COUNTIF($F$16,"=3")+COUNTIF($E$19,"=3")+COUNTIF($E$21,"=3")+COUNTIF($F$24,"=3")+COUNTIF($E$31,"=3")+COUNTIF($E$34,"=3")+COUNTIF($E$37,"=3")+COUNTIF($F$40,"=3")+COUNTIF($F$42,"=3")</f>
        <v>1</v>
      </c>
      <c r="Y8" s="13">
        <f>SUM(IF($E$3&lt;$F$3,1,0))+SUM(IF($F$10&lt;$E$10,1,0))+SUM(IF($F$13&lt;$E$13,1,0))+SUM(IF($F$161&lt;$E$16,1,0))+SUM(IF($E$19&lt;$F$19,1,0))+SUM(IF($E$21&lt;$F$21,1,0))+SUM(IF($F$24&lt;$E$24,1,0))+SUM(IF($E$31&lt;$F$31,1,0))+SUM(IF($E$34&lt;$F$34,1,0))+SUM(IF($E$37&lt;$F$37,1,0))+SUM(IF($F$40&lt;$E$40,1,0))+SUM(IF($F$42&lt;$E$42,1,0))</f>
        <v>7</v>
      </c>
      <c r="Z8" s="18"/>
      <c r="AA8" s="13">
        <f>$E$3+$F$10+$F$13+$F$16+$E$19+$E$21+$F$24+$E$31+$E$34+$E$37+$F$40+$F$42</f>
        <v>6</v>
      </c>
      <c r="AB8" s="13">
        <f>$F$3+$E$10+$E$13+$E$16+$F$19+$F$21+$E$24+$F$31+$F$34+$F$37+$E$40+$E$42</f>
        <v>21</v>
      </c>
      <c r="AC8" s="23">
        <f t="shared" si="2"/>
        <v>0.2857142857142857</v>
      </c>
      <c r="AD8" s="13">
        <f>$Q$3+$R$10+$R$13+$R$16+$Q$19+$Q$21+$R$24+$Q$31+$Q$34+$Q$37+$R$40+$R$42</f>
        <v>501</v>
      </c>
      <c r="AE8" s="13">
        <f>$R$3+$Q$10+$Q$13+$Q$16+$R$19+$R$21+$Q$24+$R$31+$R$34+$R$37+$Q$40+$Q$42</f>
        <v>618</v>
      </c>
      <c r="AF8" s="23">
        <f t="shared" si="3"/>
        <v>0.8106796116504854</v>
      </c>
      <c r="AG8" s="13">
        <f>SUM(IF(AND($E$3=3,$F$3=0),1,0))+SUM(IF(AND($F$10=3,$E$10=0),1,0))+SUM(IF(AND($F$13=3,$E$13=0),1,0))+SUM(IF(AND($F$16=3,$E$16=0),1,0))+SUM(IF(AND($E$19=3,$F$19=0),1,0))+SUM(IF(AND($E$21=3,$F$21=0),1,0))+SUM(IF(AND($F$24=3,$E$24=0),1,0))+SUM(IF(AND($E$31=3,$F$31=0),1,0))+SUM(IF(AND($E$34=3,$F$34=0),1,0))+SUM(IF(AND($E$37=3,$F$37=0),1,0))+SUM(IF(AND($F$40=3,$E454=0),1,0))+SUM(IF(AND($F$42=3,$E$42=0),1,0))</f>
        <v>1</v>
      </c>
      <c r="AH8" s="13">
        <f>SUM(IF(AND($E$3=3,$F$3=1),1,0))+SUM(IF(AND($F$10=3,$E$10=1),1,0))+SUM(IF(AND($F$13=3,$E$13=1),1,0))+SUM(IF(AND($F$16=3,$E$16=1),1,0))+SUM(IF(AND($E$19=3,$F$19=1),1,0))+SUM(IF(AND($E$21=3,$F$21=1),1,0))+SUM(IF(AND($F$24=3,$E$24=1),1,0))+SUM(IF(AND($E$31=3,$F$31=1),1,0))+SUM(IF(AND($E$34=3,$F$34=1),1,0))+SUM(IF(AND($E$37=3,$F$37=1),1,0))+SUM(IF(AND($F$40=3,$E454=1),1,0))+SUM(IF(AND($F$42=3,$E$42=1),1,0))</f>
        <v>0</v>
      </c>
      <c r="AI8" s="13">
        <f>SUM(IF(AND($E$3=3,$F$3=2),1,0))+SUM(IF(AND($F$10=3,$E$10=2),1,0))+SUM(IF(AND($F$13=3,$E$13=2),1,0))+SUM(IF(AND($F$16=3,$E$16=2),1,0))+SUM(IF(AND($E$19=3,$F$19=2),1,0))+SUM(IF(AND($E$21=3,$F$21=2),1,0))+SUM(IF(AND($F$24=3,$E$24=2),1,0))+SUM(IF(AND($E$31=3,$F$31=2),1,0))+SUM(IF(AND($E$34=3,$F$34=2),1,0))+SUM(IF(AND($E$37=3,$F$37=2),1,0))+SUM(IF(AND($F$40=3,$E454=2),1,0))+SUM(IF(AND($F$42=3,$E$42=2),1,0))</f>
        <v>0</v>
      </c>
      <c r="AJ8" s="13">
        <f>SUM(IF(AND($E$3=2,$F$3=3),1,0))+SUM(IF(AND($F$10=2,$E$10=3),1,0))+SUM(IF(AND($F$13=2,$E$13=3),1,0))+SUM(IF(AND($F$16=2,$E$16=3),1,0))+SUM(IF(AND($E$19=2,$F$19=3),1,0))+SUM(IF(AND($E$21=2,$F$21=3),1,0))+SUM(IF(AND($F$24=2,$E$24=3),1,0))+SUM(IF(AND($E$31=2,$F$31=3),1,0))+SUM(IF(AND($E$34=2,$F$34=3),1,0))+SUM(IF(AND($E$37=2,$F$37=3),1,0))+SUM(IF(AND($F$40=2,$E454=3),1,0))+SUM(IF(AND($F$42=2,$E$42=3),1,0))</f>
        <v>0</v>
      </c>
      <c r="AK8" s="13">
        <f>SUM(IF(AND($E$3=1,$F$3=3),1,0))+SUM(IF(AND($F$10=1,$E$10=3),1,0))+SUM(IF(AND($F$13=1,$E$13=3),1,0))+SUM(IF(AND($F$16=1,$E$16=3),1,0))+SUM(IF(AND($E$19=1,$F$19=3),1,0))+SUM(IF(AND($E$21=1,$F$21=3),1,0))+SUM(IF(AND($F$24=1,$E$24=3),1,0))+SUM(IF(AND($E$31=1,$F$31=3),1,0))+SUM(IF(AND($E$34=1,$F$34=3),1,0))+SUM(IF(AND($E$37=1,$F$37=3),1,0))+SUM(IF(AND($F$40=1,$E454=3),1,0))+SUM(IF(AND($F$42=1,$E$42=3),1,0))</f>
        <v>3</v>
      </c>
      <c r="AL8" s="13">
        <f>SUM(IF(AND($E$3=0,$F$3=3),1,0))+SUM(IF(AND($F$10=0,$E$10=3),1,0))+SUM(IF(AND($F$13=0,$E$13=3),1,0))+SUM(IF(AND($F$16=0,$E$16=3),1,0))+SUM(IF(AND($E$19=0,$F$19=3),1,0))+SUM(IF(AND($E$21=0,$F$21=3),1,0))+SUM(IF(AND($F$24=0,$E$24=3),1,0))+SUM(IF(AND($E$31=0,$F$31=3),1,0))+SUM(IF(AND($E$34=0,$F$34=3),1,0))+SUM(IF(AND($E$37=0,$F$37=3),1,0))+SUM(IF(AND($F$40=1,$E454=3),1,0))+SUM(IF(AND($F$42=0,$E$42=3),1,0))</f>
        <v>4</v>
      </c>
      <c r="AM8" s="5"/>
      <c r="AN8" s="6"/>
      <c r="AO8" s="6"/>
      <c r="AP8" s="6"/>
      <c r="AQ8" s="6"/>
      <c r="AR8" s="6"/>
      <c r="AS8" s="6"/>
      <c r="AT8" s="6"/>
      <c r="AU8" s="6"/>
      <c r="AV8" s="6"/>
    </row>
    <row r="9" spans="1:48" ht="12.75" customHeight="1">
      <c r="A9" s="1" t="s">
        <v>160</v>
      </c>
      <c r="B9" s="1" t="s">
        <v>32</v>
      </c>
      <c r="C9" s="7" t="s">
        <v>42</v>
      </c>
      <c r="D9" s="77" t="s">
        <v>154</v>
      </c>
      <c r="E9" s="1">
        <v>3</v>
      </c>
      <c r="F9" s="1">
        <v>0</v>
      </c>
      <c r="G9" s="1">
        <v>25</v>
      </c>
      <c r="H9" s="1">
        <v>5</v>
      </c>
      <c r="I9" s="1">
        <v>25</v>
      </c>
      <c r="J9" s="1">
        <v>1</v>
      </c>
      <c r="K9" s="1">
        <v>25</v>
      </c>
      <c r="L9" s="1">
        <v>5</v>
      </c>
      <c r="M9" s="1">
        <v>0</v>
      </c>
      <c r="N9" s="1">
        <v>0</v>
      </c>
      <c r="O9" s="1">
        <v>0</v>
      </c>
      <c r="P9" s="1">
        <v>0</v>
      </c>
      <c r="Q9" s="1">
        <f>G9+I9+K9+M9+O9</f>
        <v>75</v>
      </c>
      <c r="R9" s="1">
        <f>H9+J9+L9+N9+P9</f>
        <v>11</v>
      </c>
      <c r="S9" s="5"/>
      <c r="T9" s="7">
        <v>7</v>
      </c>
      <c r="U9" s="7" t="s">
        <v>154</v>
      </c>
      <c r="V9" s="2">
        <f t="shared" si="0"/>
        <v>0</v>
      </c>
      <c r="W9" s="1">
        <f t="shared" si="1"/>
        <v>8</v>
      </c>
      <c r="X9" s="13">
        <f>COUNTIF($F$4,"=3")+COUNTIF($E$8,"=3")+COUNTIF($F$9,"=3")+COUNTIF($E$13,"=3")+COUNTIF($E$17,"=3")+COUNTIF($F$23,"=3")+COUNTIF($E$25,"=3")+COUNTIF($F$29,"=3")+COUNTIF($E$30,"=3")+COUNTIF($F$34,"=3")+COUNTIF($F$38,"=3")+COUNTIF($E$44,"=3")</f>
        <v>0</v>
      </c>
      <c r="Y9" s="13">
        <f>SUM(IF($F$4&lt;$E$4,1,0))+SUM(IF($E$8&lt;$F$8,1,0))+SUM(IF($F$9&lt;$E$9,1,0))+SUM(IF($E$13&lt;$F$13,1,0))+SUM(IF($E$17&lt;$F$17,1,0))+SUM(IF($F$23&lt;$E$23,1,0))+SUM(IF($E$25&lt;$F$25,1,0))+SUM(IF($F$29&lt;$E$29,1,0))+SUM(IF($E$30&lt;$F$30,1,0))+SUM(IF($F$34&lt;$E$34,1,0))+SUM(IF($F$38&lt;$E$38,1,0))+SUM(IF($E$44&lt;$F$44,1,0))</f>
        <v>8</v>
      </c>
      <c r="Z9" s="18"/>
      <c r="AA9" s="13">
        <f>$F$4+$E$8+$F$9+$E$13+$E$17+$F$23+$E$25+$F$29+$E$30+$F$34+$F$38+$E$44</f>
        <v>0</v>
      </c>
      <c r="AB9" s="13">
        <f>$E$4+$F$8+$E$9+$F$13+$F$17+$E$23+$F$25+$E$29+$F$30+$E$34+$E$38+$F$44</f>
        <v>24</v>
      </c>
      <c r="AC9" s="23">
        <f t="shared" si="2"/>
        <v>0</v>
      </c>
      <c r="AD9" s="13">
        <f>$R$4+$Q$8+$R$9+$Q$13+$Q$17+$R$23+$Q$25+$R$29+$Q$30+$R$34+$R$38+$Q$44</f>
        <v>178</v>
      </c>
      <c r="AE9" s="13">
        <f>$Q$4+$R$8+$Q$9+$R$13+$R$17+$Q$23+$R$25+$Q$29+$R$30+$Q$34+$Q$38+$R$44</f>
        <v>600</v>
      </c>
      <c r="AF9" s="23">
        <f t="shared" si="3"/>
        <v>0.2966666666666667</v>
      </c>
      <c r="AG9" s="13">
        <f>SUM(IF(AND($F$4=3,$E$4=0),1,0))+SUM(IF(AND($E$8=3,$F$8=0),1,0))+SUM(IF(AND($F$9=3,$E$9=0),1,0))+SUM(IF(AND($E$13=3,$F$13=0),1,0))+SUM(IF(AND($E$17=3,$F$17=0),1,0))+SUM(IF(AND($F$23=3,$E$23=0),1,0))+SUM(IF(AND($F$29=3,$E$29=0),1,0))+SUM(IF(AND($E$30=3,$F$30=0),1,0))+SUM(IF(AND($F$34=3,$E$34=0),1,0))+SUM(IF(AND($F$38=3,$E$38=0),1,0))+SUM(IF(AND($E$44=3,$F$44=0),1,0))</f>
        <v>0</v>
      </c>
      <c r="AH9" s="13">
        <f>SUM(IF(AND($F$4=3,$E$4=1),1,0))+SUM(IF(AND($E$8=3,$F$8=1),1,0))+SUM(IF(AND($F$9=3,$E$9=1),1,0))+SUM(IF(AND($E$13=3,$F$13=1),1,0))+SUM(IF(AND($E$17=3,$F$17=1),1,0))+SUM(IF(AND($F$23=3,$E$23=1),1,0))+SUM(IF(AND($F$29=3,$E$29=1),1,0))+SUM(IF(AND($E$30=3,$F$30=1),1,0))+SUM(IF(AND($F$34=3,$E$34=1),1,0))+SUM(IF(AND($F$38=3,$E$38=1),1,0))+SUM(IF(AND($E$44=3,$F$44=1),1,0))</f>
        <v>0</v>
      </c>
      <c r="AI9" s="13">
        <f>SUM(IF(AND($F$4=3,$E$4=2),1,0))+SUM(IF(AND($E$8=3,$F$8=2),1,0))+SUM(IF(AND($F$9=3,$E$9=2),1,0))+SUM(IF(AND($E$13=3,$F$13=2),1,0))+SUM(IF(AND($E$17=3,$F$17=2),1,0))+SUM(IF(AND($F$23=3,$E$23=2),1,0))+SUM(IF(AND($F$29=3,$E$29=2),1,0))+SUM(IF(AND($E$30=3,$F$30=2),1,0))+SUM(IF(AND($F$34=3,$E$34=2),1,0))+SUM(IF(AND($F$38=3,$E$38=2),1,0))+SUM(IF(AND($E$44=3,$F$44=2),1,0))</f>
        <v>0</v>
      </c>
      <c r="AJ9" s="13">
        <f>SUM(IF(AND($F$4=2,$E$4=3),1,0))+SUM(IF(AND($E$8=2,$F$8=3),1,0))+SUM(IF(AND($F$9=2,$E$9=3),1,0))+SUM(IF(AND($E$13=2,$F$13=3),1,0))+SUM(IF(AND($E$17=2,$F$17=3),1,0))+SUM(IF(AND($F$23=2,$E$23=3),1,0))+SUM(IF(AND($F$29=2,$E$29=3),1,0))+SUM(IF(AND($E$30=2,$F$30=3),1,0))+SUM(IF(AND($F$34=2,$E$34=3),1,0))+SUM(IF(AND($F$38=2,$E$38=3),1,0))+SUM(IF(AND($E$44=2,$F$44=3),1,0))</f>
        <v>0</v>
      </c>
      <c r="AK9" s="13">
        <f>SUM(IF(AND($F$4=1,$E$4=3),1,0))+SUM(IF(AND($E$8=1,$F$8=3),1,0))+SUM(IF(AND($F$9=1,$E$9=3),1,0))+SUM(IF(AND($E$13=1,$F$13=3),1,0))+SUM(IF(AND($E$17=1,$F$17=3),1,0))+SUM(IF(AND($F$23=1,$E$23=3),1,0))+SUM(IF(AND($F$29=1,$E$29=3),1,0))+SUM(IF(AND($E$30=1,$F$30=3),1,0))+SUM(IF(AND($F$34=1,$E$34=3),1,0))+SUM(IF(AND($F$38=1,$E$38=3),1,0))+SUM(IF(AND($E$44=1,$F$44=3),1,0))</f>
        <v>0</v>
      </c>
      <c r="AL9" s="13">
        <f>SUM(IF(AND($F$4=0,$E$4=3),1,0))+SUM(IF(AND($E$8=0,$F$8=3),1,0))+SUM(IF(AND($F$9=0,$E$9=3),1,0))+SUM(IF(AND($E$13=0,$F$13=3),1,0))+SUM(IF(AND($E$17=0,$F$17=3),1,0))+SUM(IF(AND($F$23=0,$E$23=3),1,0))+SUM(IF(AND($F$29=0,$E$29=3),1,0))+SUM(IF(AND($E$30=0,$F$30=3),1,0))+SUM(IF(AND($F$34=0,$E$34=3),1,0))+SUM(IF(AND($F$38=0,$E$38=3),1,0))+SUM(IF(AND($E$44=0,$F$44=3),1,0))</f>
        <v>8</v>
      </c>
      <c r="AM9" s="5"/>
      <c r="AN9" s="6"/>
      <c r="AO9" s="6"/>
      <c r="AP9" s="6"/>
      <c r="AQ9" s="6"/>
      <c r="AR9" s="6"/>
      <c r="AS9" s="6"/>
      <c r="AT9" s="6"/>
      <c r="AU9" s="6"/>
      <c r="AV9" s="6"/>
    </row>
    <row r="10" spans="1:48" ht="12.75" customHeight="1">
      <c r="A10" s="1" t="s">
        <v>164</v>
      </c>
      <c r="B10" s="1" t="s">
        <v>32</v>
      </c>
      <c r="C10" s="77" t="s">
        <v>36</v>
      </c>
      <c r="D10" s="77" t="s">
        <v>44</v>
      </c>
      <c r="E10" s="1">
        <v>3</v>
      </c>
      <c r="F10" s="1">
        <v>1</v>
      </c>
      <c r="G10" s="1">
        <v>25</v>
      </c>
      <c r="H10" s="1">
        <v>14</v>
      </c>
      <c r="I10" s="1">
        <v>25</v>
      </c>
      <c r="J10" s="1">
        <v>14</v>
      </c>
      <c r="K10" s="1">
        <v>18</v>
      </c>
      <c r="L10" s="1">
        <v>25</v>
      </c>
      <c r="M10" s="1">
        <v>25</v>
      </c>
      <c r="N10" s="1">
        <v>15</v>
      </c>
      <c r="O10" s="1">
        <v>0</v>
      </c>
      <c r="P10" s="1">
        <v>0</v>
      </c>
      <c r="Q10" s="1">
        <f>G10+I10+K10+M10+O10</f>
        <v>93</v>
      </c>
      <c r="R10" s="1">
        <f>H10+J10+L10+N10+P10</f>
        <v>68</v>
      </c>
      <c r="S10" s="5"/>
      <c r="T10" s="3"/>
      <c r="U10" s="3"/>
      <c r="V10" s="3"/>
      <c r="W10" s="3"/>
      <c r="X10" s="3"/>
      <c r="Y10" s="3"/>
      <c r="Z10" s="3"/>
      <c r="AA10" s="3"/>
      <c r="AB10" s="3"/>
      <c r="AC10" s="35"/>
      <c r="AD10" s="3"/>
      <c r="AE10" s="3"/>
      <c r="AF10" s="35"/>
      <c r="AG10" s="3"/>
      <c r="AH10" s="3"/>
      <c r="AI10" s="3"/>
      <c r="AJ10" s="3"/>
      <c r="AK10" s="3"/>
      <c r="AL10" s="3"/>
      <c r="AM10" s="5"/>
      <c r="AN10" s="6"/>
      <c r="AO10" s="6"/>
      <c r="AP10" s="6"/>
      <c r="AQ10" s="6"/>
      <c r="AR10" s="6"/>
      <c r="AS10" s="6"/>
      <c r="AT10" s="6"/>
      <c r="AU10" s="6"/>
      <c r="AV10" s="6"/>
    </row>
    <row r="11" spans="1:48" ht="12.75" customHeight="1">
      <c r="A11" s="1" t="s">
        <v>165</v>
      </c>
      <c r="B11" s="1" t="s">
        <v>32</v>
      </c>
      <c r="C11" s="7" t="s">
        <v>155</v>
      </c>
      <c r="D11" s="77" t="s">
        <v>33</v>
      </c>
      <c r="E11" s="1">
        <v>3</v>
      </c>
      <c r="F11" s="1">
        <v>0</v>
      </c>
      <c r="G11" s="1">
        <v>25</v>
      </c>
      <c r="H11" s="1">
        <v>21</v>
      </c>
      <c r="I11" s="1">
        <v>25</v>
      </c>
      <c r="J11" s="1">
        <v>18</v>
      </c>
      <c r="K11" s="1">
        <v>25</v>
      </c>
      <c r="L11" s="1">
        <v>10</v>
      </c>
      <c r="M11" s="1">
        <v>0</v>
      </c>
      <c r="N11" s="1">
        <v>0</v>
      </c>
      <c r="O11" s="1">
        <v>0</v>
      </c>
      <c r="P11" s="1">
        <v>0</v>
      </c>
      <c r="Q11" s="1">
        <f>G11+I11+K11+M11+O11</f>
        <v>75</v>
      </c>
      <c r="R11" s="1">
        <f>H11+J11+L11+N11+P11</f>
        <v>49</v>
      </c>
      <c r="S11" s="5"/>
      <c r="T11" s="3"/>
      <c r="U11" s="4" t="s">
        <v>29</v>
      </c>
      <c r="V11" s="3"/>
      <c r="W11" s="3"/>
      <c r="X11" s="3"/>
      <c r="Y11" s="3"/>
      <c r="Z11" s="3"/>
      <c r="AA11" s="3"/>
      <c r="AB11" s="3"/>
      <c r="AC11" s="35"/>
      <c r="AD11" s="3"/>
      <c r="AE11" s="3"/>
      <c r="AF11" s="35"/>
      <c r="AG11" s="3"/>
      <c r="AH11" s="3"/>
      <c r="AI11" s="3"/>
      <c r="AJ11" s="3"/>
      <c r="AK11" s="3"/>
      <c r="AL11" s="3"/>
      <c r="AM11" s="5"/>
      <c r="AN11" s="6"/>
      <c r="AO11" s="6"/>
      <c r="AP11" s="6"/>
      <c r="AQ11" s="6"/>
      <c r="AR11" s="6"/>
      <c r="AS11" s="6"/>
      <c r="AT11" s="6"/>
      <c r="AU11" s="6"/>
      <c r="AV11" s="6"/>
    </row>
    <row r="12" spans="1:48" ht="12.75" customHeight="1">
      <c r="A12" s="1" t="s">
        <v>166</v>
      </c>
      <c r="B12" s="1" t="s">
        <v>32</v>
      </c>
      <c r="C12" s="77" t="s">
        <v>42</v>
      </c>
      <c r="D12" s="77" t="s">
        <v>36</v>
      </c>
      <c r="E12" s="1">
        <v>3</v>
      </c>
      <c r="F12" s="1">
        <v>0</v>
      </c>
      <c r="G12" s="1">
        <v>25</v>
      </c>
      <c r="H12" s="1">
        <v>0</v>
      </c>
      <c r="I12" s="1">
        <v>25</v>
      </c>
      <c r="J12" s="1">
        <v>17</v>
      </c>
      <c r="K12" s="1">
        <v>25</v>
      </c>
      <c r="L12" s="1">
        <v>12</v>
      </c>
      <c r="M12" s="1">
        <v>0</v>
      </c>
      <c r="N12" s="1">
        <v>0</v>
      </c>
      <c r="O12" s="1">
        <v>0</v>
      </c>
      <c r="P12" s="1">
        <v>0</v>
      </c>
      <c r="Q12" s="1">
        <f>G12+I12+K12+M12+O12</f>
        <v>75</v>
      </c>
      <c r="R12" s="1">
        <f>H12+J12+L12+N12+P12</f>
        <v>29</v>
      </c>
      <c r="S12" s="5"/>
      <c r="T12" s="3"/>
      <c r="U12" s="7"/>
      <c r="V12" s="3"/>
      <c r="W12" s="3"/>
      <c r="X12" s="3"/>
      <c r="Y12" s="3"/>
      <c r="Z12" s="3"/>
      <c r="AA12" s="3"/>
      <c r="AB12" s="3"/>
      <c r="AC12" s="35"/>
      <c r="AD12" s="3"/>
      <c r="AE12" s="3"/>
      <c r="AF12" s="35"/>
      <c r="AG12" s="3"/>
      <c r="AH12" s="3"/>
      <c r="AI12" s="3"/>
      <c r="AJ12" s="3"/>
      <c r="AK12" s="3"/>
      <c r="AL12" s="3"/>
      <c r="AM12" s="5"/>
      <c r="AN12" s="6"/>
      <c r="AO12" s="6"/>
      <c r="AP12" s="6"/>
      <c r="AQ12" s="6"/>
      <c r="AR12" s="6"/>
      <c r="AS12" s="6"/>
      <c r="AT12" s="6"/>
      <c r="AU12" s="6"/>
      <c r="AV12" s="6"/>
    </row>
    <row r="13" spans="1:48" ht="12.75" customHeight="1">
      <c r="A13" s="1" t="s">
        <v>167</v>
      </c>
      <c r="B13" s="1" t="s">
        <v>32</v>
      </c>
      <c r="C13" s="7" t="s">
        <v>154</v>
      </c>
      <c r="D13" s="77" t="s">
        <v>44</v>
      </c>
      <c r="E13" s="1">
        <v>0</v>
      </c>
      <c r="F13" s="1">
        <v>3</v>
      </c>
      <c r="G13" s="1">
        <v>9</v>
      </c>
      <c r="H13" s="1">
        <v>25</v>
      </c>
      <c r="I13" s="1">
        <v>20</v>
      </c>
      <c r="J13" s="1">
        <v>25</v>
      </c>
      <c r="K13" s="1">
        <v>9</v>
      </c>
      <c r="L13" s="1">
        <v>25</v>
      </c>
      <c r="M13" s="1">
        <v>0</v>
      </c>
      <c r="N13" s="1">
        <v>0</v>
      </c>
      <c r="O13" s="1">
        <v>0</v>
      </c>
      <c r="P13" s="1">
        <v>0</v>
      </c>
      <c r="Q13" s="1">
        <f>G13+I13+K13+M13+O13</f>
        <v>38</v>
      </c>
      <c r="R13" s="1">
        <f>H13+J13+L13+N13+P13</f>
        <v>75</v>
      </c>
      <c r="S13" s="5"/>
      <c r="T13" s="3"/>
      <c r="U13" s="3"/>
      <c r="V13" s="3"/>
      <c r="W13" s="3"/>
      <c r="X13" s="3"/>
      <c r="Y13" s="3"/>
      <c r="Z13" s="3"/>
      <c r="AA13" s="3"/>
      <c r="AB13" s="3"/>
      <c r="AC13" s="35"/>
      <c r="AD13" s="3"/>
      <c r="AE13" s="3"/>
      <c r="AF13" s="35"/>
      <c r="AG13" s="3"/>
      <c r="AH13" s="3"/>
      <c r="AI13" s="3"/>
      <c r="AJ13" s="3"/>
      <c r="AK13" s="3"/>
      <c r="AL13" s="3"/>
      <c r="AM13" s="5"/>
      <c r="AN13" s="6"/>
      <c r="AO13" s="6"/>
      <c r="AP13" s="6"/>
      <c r="AQ13" s="6"/>
      <c r="AR13" s="6"/>
      <c r="AS13" s="6"/>
      <c r="AT13" s="6"/>
      <c r="AU13" s="6"/>
      <c r="AV13" s="6"/>
    </row>
    <row r="14" spans="1:48" ht="12.75" customHeight="1">
      <c r="A14" s="1" t="s">
        <v>170</v>
      </c>
      <c r="B14" s="1" t="s">
        <v>32</v>
      </c>
      <c r="C14" s="7" t="s">
        <v>33</v>
      </c>
      <c r="D14" s="77" t="s">
        <v>39</v>
      </c>
      <c r="E14" s="1">
        <v>3</v>
      </c>
      <c r="F14" s="1">
        <v>1</v>
      </c>
      <c r="G14" s="1">
        <v>15</v>
      </c>
      <c r="H14" s="1">
        <v>25</v>
      </c>
      <c r="I14" s="1">
        <v>25</v>
      </c>
      <c r="J14" s="1">
        <v>14</v>
      </c>
      <c r="K14" s="1">
        <v>25</v>
      </c>
      <c r="L14" s="1">
        <v>23</v>
      </c>
      <c r="M14" s="1">
        <v>25</v>
      </c>
      <c r="N14" s="1">
        <v>17</v>
      </c>
      <c r="O14" s="1">
        <v>0</v>
      </c>
      <c r="P14" s="1">
        <v>0</v>
      </c>
      <c r="Q14" s="1">
        <f>G14+I14+K14+M14+O14</f>
        <v>90</v>
      </c>
      <c r="R14" s="1">
        <f>H14+J14+L14+N14+P14</f>
        <v>79</v>
      </c>
      <c r="S14" s="5"/>
      <c r="T14" s="3"/>
      <c r="AB14" s="3"/>
      <c r="AC14" s="35"/>
      <c r="AD14" s="3"/>
      <c r="AE14" s="3"/>
      <c r="AF14" s="35"/>
      <c r="AG14" s="3"/>
      <c r="AH14" s="3"/>
      <c r="AI14" s="3"/>
      <c r="AJ14" s="3"/>
      <c r="AK14" s="3"/>
      <c r="AL14" s="3"/>
      <c r="AM14" s="5"/>
      <c r="AN14" s="6"/>
      <c r="AO14" s="6"/>
      <c r="AP14" s="6"/>
      <c r="AQ14" s="6"/>
      <c r="AR14" s="6"/>
      <c r="AS14" s="6"/>
      <c r="AT14" s="6"/>
      <c r="AU14" s="6"/>
      <c r="AV14" s="6"/>
    </row>
    <row r="15" spans="1:48" ht="12.75" customHeight="1">
      <c r="A15" s="1" t="s">
        <v>171</v>
      </c>
      <c r="B15" s="1" t="s">
        <v>32</v>
      </c>
      <c r="C15" s="7" t="s">
        <v>155</v>
      </c>
      <c r="D15" s="7" t="s">
        <v>42</v>
      </c>
      <c r="E15" s="1">
        <v>0</v>
      </c>
      <c r="F15" s="1">
        <v>3</v>
      </c>
      <c r="G15" s="1">
        <v>8</v>
      </c>
      <c r="H15" s="1">
        <v>25</v>
      </c>
      <c r="I15" s="1">
        <v>15</v>
      </c>
      <c r="J15" s="1">
        <v>25</v>
      </c>
      <c r="K15" s="1">
        <v>10</v>
      </c>
      <c r="L15" s="1">
        <v>25</v>
      </c>
      <c r="M15" s="1">
        <v>0</v>
      </c>
      <c r="N15" s="1">
        <v>0</v>
      </c>
      <c r="O15" s="1">
        <v>0</v>
      </c>
      <c r="P15" s="1">
        <v>0</v>
      </c>
      <c r="Q15" s="1">
        <f>G15+I15+K15+M15+O15</f>
        <v>33</v>
      </c>
      <c r="R15" s="1">
        <f>H15+J15+L15+N15+P15</f>
        <v>75</v>
      </c>
      <c r="S15" s="5"/>
      <c r="T15" s="3"/>
      <c r="U15" s="3"/>
      <c r="V15" s="3"/>
      <c r="W15" s="3"/>
      <c r="X15" s="3"/>
      <c r="Y15" s="3"/>
      <c r="Z15" s="3"/>
      <c r="AA15" s="3"/>
      <c r="AB15" s="3"/>
      <c r="AC15" s="35"/>
      <c r="AD15" s="3"/>
      <c r="AE15" s="3"/>
      <c r="AF15" s="35"/>
      <c r="AG15" s="3"/>
      <c r="AH15" s="3"/>
      <c r="AI15" s="3"/>
      <c r="AJ15" s="3"/>
      <c r="AK15" s="3"/>
      <c r="AL15" s="3"/>
      <c r="AM15" s="5"/>
      <c r="AN15" s="6"/>
      <c r="AO15" s="6"/>
      <c r="AP15" s="6"/>
      <c r="AQ15" s="6"/>
      <c r="AR15" s="6"/>
      <c r="AS15" s="6"/>
      <c r="AT15" s="6"/>
      <c r="AU15" s="6"/>
      <c r="AV15" s="6"/>
    </row>
    <row r="16" spans="1:48" ht="12.75" customHeight="1">
      <c r="A16" s="1" t="s">
        <v>172</v>
      </c>
      <c r="B16" s="1" t="s">
        <v>32</v>
      </c>
      <c r="C16" s="7" t="s">
        <v>39</v>
      </c>
      <c r="D16" s="77" t="s">
        <v>44</v>
      </c>
      <c r="E16" s="1">
        <v>3</v>
      </c>
      <c r="F16" s="1">
        <v>0</v>
      </c>
      <c r="G16" s="1">
        <v>25</v>
      </c>
      <c r="H16" s="1">
        <v>18</v>
      </c>
      <c r="I16" s="1">
        <v>25</v>
      </c>
      <c r="J16" s="1">
        <v>20</v>
      </c>
      <c r="K16" s="1">
        <v>25</v>
      </c>
      <c r="L16" s="1">
        <v>20</v>
      </c>
      <c r="M16" s="1">
        <v>0</v>
      </c>
      <c r="N16" s="1">
        <v>0</v>
      </c>
      <c r="O16" s="1">
        <v>0</v>
      </c>
      <c r="P16" s="1">
        <v>0</v>
      </c>
      <c r="Q16" s="1">
        <f>G16+I16+K16+M16+O16</f>
        <v>75</v>
      </c>
      <c r="R16" s="1">
        <f>H16+J16+L16+N16+P16</f>
        <v>58</v>
      </c>
      <c r="S16" s="5"/>
      <c r="T16" s="3"/>
      <c r="U16" s="161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3"/>
      <c r="AN16" s="6"/>
      <c r="AO16" s="6"/>
      <c r="AP16" s="6"/>
      <c r="AQ16" s="6"/>
      <c r="AR16" s="6"/>
      <c r="AS16" s="6"/>
      <c r="AT16" s="6"/>
      <c r="AU16" s="6"/>
      <c r="AV16" s="6"/>
    </row>
    <row r="17" spans="1:48" ht="12.75" customHeight="1">
      <c r="A17" s="1" t="s">
        <v>173</v>
      </c>
      <c r="B17" s="1" t="s">
        <v>32</v>
      </c>
      <c r="C17" s="7" t="s">
        <v>154</v>
      </c>
      <c r="D17" s="77" t="s">
        <v>33</v>
      </c>
      <c r="E17" s="1">
        <f>-F173</f>
        <v>0</v>
      </c>
      <c r="F17" s="1">
        <v>3</v>
      </c>
      <c r="G17" s="1">
        <v>14</v>
      </c>
      <c r="H17" s="1">
        <v>25</v>
      </c>
      <c r="I17" s="1">
        <v>5</v>
      </c>
      <c r="J17" s="1">
        <v>25</v>
      </c>
      <c r="K17" s="1">
        <v>10</v>
      </c>
      <c r="L17" s="1">
        <v>25</v>
      </c>
      <c r="M17" s="1">
        <v>0</v>
      </c>
      <c r="N17" s="1">
        <v>0</v>
      </c>
      <c r="O17" s="1">
        <v>0</v>
      </c>
      <c r="P17" s="1">
        <v>0</v>
      </c>
      <c r="Q17" s="1">
        <f>G17+I17+K17+M17+O17</f>
        <v>29</v>
      </c>
      <c r="R17" s="1">
        <f>H17+J17+L17+N17+P17</f>
        <v>75</v>
      </c>
      <c r="S17" s="5"/>
      <c r="T17" s="3"/>
      <c r="U17" s="164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65"/>
      <c r="AN17" s="6"/>
      <c r="AO17" s="6"/>
      <c r="AP17" s="6"/>
      <c r="AQ17" s="6"/>
      <c r="AR17" s="6"/>
      <c r="AS17" s="6"/>
      <c r="AT17" s="6"/>
      <c r="AU17" s="6"/>
      <c r="AV17" s="6"/>
    </row>
    <row r="18" spans="1:48" ht="12.75" customHeight="1">
      <c r="A18" s="1" t="s">
        <v>174</v>
      </c>
      <c r="B18" s="1" t="s">
        <v>32</v>
      </c>
      <c r="C18" s="77" t="s">
        <v>42</v>
      </c>
      <c r="D18" s="7" t="s">
        <v>39</v>
      </c>
      <c r="E18" s="1">
        <v>3</v>
      </c>
      <c r="F18" s="1">
        <v>0</v>
      </c>
      <c r="G18" s="1">
        <v>27</v>
      </c>
      <c r="H18" s="1">
        <v>25</v>
      </c>
      <c r="I18" s="1">
        <v>25</v>
      </c>
      <c r="J18" s="1">
        <v>19</v>
      </c>
      <c r="K18" s="1">
        <v>25</v>
      </c>
      <c r="L18" s="1">
        <v>16</v>
      </c>
      <c r="M18" s="1">
        <v>0</v>
      </c>
      <c r="N18" s="1">
        <v>0</v>
      </c>
      <c r="O18" s="1">
        <v>0</v>
      </c>
      <c r="P18" s="1">
        <v>0</v>
      </c>
      <c r="Q18" s="1">
        <f>G18+I18+K18+M18+O18</f>
        <v>77</v>
      </c>
      <c r="R18" s="1">
        <f>H18+J18+L18+N18+P18</f>
        <v>60</v>
      </c>
      <c r="S18" s="5"/>
      <c r="T18" s="3"/>
      <c r="U18" s="164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65"/>
      <c r="AN18" s="6"/>
      <c r="AO18" s="6"/>
      <c r="AP18" s="6"/>
      <c r="AQ18" s="6"/>
      <c r="AR18" s="6"/>
      <c r="AS18" s="6"/>
      <c r="AT18" s="6"/>
      <c r="AU18" s="6"/>
      <c r="AV18" s="6"/>
    </row>
    <row r="19" spans="1:48" ht="12.75" customHeight="1">
      <c r="A19" s="1" t="s">
        <v>175</v>
      </c>
      <c r="B19" s="1" t="s">
        <v>32</v>
      </c>
      <c r="C19" s="77" t="s">
        <v>44</v>
      </c>
      <c r="D19" s="7" t="s">
        <v>155</v>
      </c>
      <c r="E19" s="1">
        <v>0</v>
      </c>
      <c r="F19" s="1">
        <v>3</v>
      </c>
      <c r="G19" s="1">
        <v>15</v>
      </c>
      <c r="H19" s="1">
        <v>25</v>
      </c>
      <c r="I19" s="1">
        <v>15</v>
      </c>
      <c r="J19" s="1">
        <v>25</v>
      </c>
      <c r="K19" s="1">
        <v>16</v>
      </c>
      <c r="L19" s="1">
        <v>25</v>
      </c>
      <c r="M19" s="1">
        <v>0</v>
      </c>
      <c r="N19" s="1">
        <v>0</v>
      </c>
      <c r="O19" s="1">
        <v>0</v>
      </c>
      <c r="P19" s="1">
        <v>0</v>
      </c>
      <c r="Q19" s="1">
        <f>G19+I19+K19+M19+O19</f>
        <v>46</v>
      </c>
      <c r="R19" s="1">
        <f>H19+J19+L19+N19+P19</f>
        <v>75</v>
      </c>
      <c r="S19" s="5"/>
      <c r="T19" s="3"/>
      <c r="U19" s="166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8"/>
      <c r="AN19" s="6"/>
      <c r="AO19" s="6"/>
      <c r="AP19" s="6"/>
      <c r="AQ19" s="6"/>
      <c r="AR19" s="6"/>
      <c r="AS19" s="6"/>
      <c r="AT19" s="6"/>
      <c r="AU19" s="6"/>
      <c r="AV19" s="6"/>
    </row>
    <row r="20" spans="1:48" ht="12.75" customHeight="1">
      <c r="A20" s="1" t="s">
        <v>176</v>
      </c>
      <c r="B20" s="1" t="s">
        <v>32</v>
      </c>
      <c r="C20" s="77" t="s">
        <v>33</v>
      </c>
      <c r="D20" s="77" t="s">
        <v>36</v>
      </c>
      <c r="E20" s="116">
        <v>0</v>
      </c>
      <c r="F20" s="116">
        <v>3</v>
      </c>
      <c r="G20" s="116">
        <v>23</v>
      </c>
      <c r="H20" s="116">
        <v>25</v>
      </c>
      <c r="I20" s="116">
        <v>17</v>
      </c>
      <c r="J20" s="116">
        <v>25</v>
      </c>
      <c r="K20" s="116">
        <v>18</v>
      </c>
      <c r="L20" s="116">
        <v>25</v>
      </c>
      <c r="M20" s="116">
        <v>0</v>
      </c>
      <c r="N20" s="116">
        <v>0</v>
      </c>
      <c r="O20" s="116">
        <v>0</v>
      </c>
      <c r="P20" s="116">
        <v>0</v>
      </c>
      <c r="Q20" s="1">
        <f>G20+I20+K20+M20+O20</f>
        <v>58</v>
      </c>
      <c r="R20" s="1">
        <f>H20+J20+L20+N20+P20</f>
        <v>75</v>
      </c>
      <c r="S20" s="5"/>
      <c r="T20" s="3"/>
      <c r="U20" s="3"/>
      <c r="V20" s="3"/>
      <c r="W20" s="3"/>
      <c r="X20" s="3"/>
      <c r="Y20" s="3"/>
      <c r="Z20" s="3"/>
      <c r="AA20" s="3"/>
      <c r="AB20" s="3"/>
      <c r="AC20" s="35"/>
      <c r="AD20" s="3"/>
      <c r="AE20" s="3"/>
      <c r="AF20" s="35"/>
      <c r="AG20" s="3"/>
      <c r="AH20" s="3"/>
      <c r="AI20" s="3"/>
      <c r="AJ20" s="3"/>
      <c r="AK20" s="3"/>
      <c r="AL20" s="3"/>
      <c r="AM20" s="5"/>
      <c r="AN20" s="6"/>
      <c r="AO20" s="6"/>
      <c r="AP20" s="6"/>
      <c r="AQ20" s="6"/>
      <c r="AR20" s="6"/>
      <c r="AS20" s="6"/>
      <c r="AT20" s="6"/>
      <c r="AU20" s="6"/>
      <c r="AV20" s="6"/>
    </row>
    <row r="21" spans="1:48" ht="12.75" customHeight="1">
      <c r="A21" s="1" t="s">
        <v>177</v>
      </c>
      <c r="B21" s="1" t="s">
        <v>32</v>
      </c>
      <c r="C21" s="77" t="s">
        <v>44</v>
      </c>
      <c r="D21" s="77" t="s">
        <v>42</v>
      </c>
      <c r="E21" s="116">
        <v>0</v>
      </c>
      <c r="F21" s="116">
        <v>3</v>
      </c>
      <c r="G21" s="116">
        <v>13</v>
      </c>
      <c r="H21" s="116">
        <v>25</v>
      </c>
      <c r="I21" s="116">
        <v>9</v>
      </c>
      <c r="J21" s="116">
        <v>25</v>
      </c>
      <c r="K21" s="116">
        <v>11</v>
      </c>
      <c r="L21" s="116">
        <v>25</v>
      </c>
      <c r="M21" s="116">
        <v>0</v>
      </c>
      <c r="N21" s="116">
        <v>0</v>
      </c>
      <c r="O21" s="116">
        <v>0</v>
      </c>
      <c r="P21" s="116">
        <v>0</v>
      </c>
      <c r="Q21" s="1">
        <f>G21+I21+K21+M21+O21</f>
        <v>33</v>
      </c>
      <c r="R21" s="1">
        <f>H21+J21+L21+N21+P21</f>
        <v>75</v>
      </c>
      <c r="S21" s="5"/>
      <c r="T21" s="3"/>
      <c r="U21" s="3"/>
      <c r="V21" s="3"/>
      <c r="W21" s="3"/>
      <c r="X21" s="3"/>
      <c r="Y21" s="3"/>
      <c r="Z21" s="3"/>
      <c r="AA21" s="3"/>
      <c r="AB21" s="3"/>
      <c r="AC21" s="35"/>
      <c r="AD21" s="3"/>
      <c r="AE21" s="3"/>
      <c r="AF21" s="35"/>
      <c r="AG21" s="3"/>
      <c r="AH21" s="3"/>
      <c r="AI21" s="3"/>
      <c r="AJ21" s="3"/>
      <c r="AK21" s="3"/>
      <c r="AL21" s="3"/>
      <c r="AM21" s="5"/>
      <c r="AN21" s="6"/>
      <c r="AO21" s="6"/>
      <c r="AP21" s="6"/>
      <c r="AQ21" s="6"/>
      <c r="AR21" s="6"/>
      <c r="AS21" s="6"/>
      <c r="AT21" s="6"/>
      <c r="AU21" s="6"/>
      <c r="AV21" s="6"/>
    </row>
    <row r="22" spans="1:48" ht="12.75" customHeight="1">
      <c r="A22" s="1" t="s">
        <v>178</v>
      </c>
      <c r="B22" s="1" t="s">
        <v>32</v>
      </c>
      <c r="C22" s="7" t="s">
        <v>39</v>
      </c>
      <c r="D22" s="7" t="s">
        <v>155</v>
      </c>
      <c r="E22" s="116">
        <v>3</v>
      </c>
      <c r="F22" s="116">
        <v>2</v>
      </c>
      <c r="G22" s="116">
        <v>25</v>
      </c>
      <c r="H22" s="116">
        <v>13</v>
      </c>
      <c r="I22" s="116">
        <v>25</v>
      </c>
      <c r="J22" s="116">
        <v>11</v>
      </c>
      <c r="K22" s="116">
        <v>20</v>
      </c>
      <c r="L22" s="116">
        <v>25</v>
      </c>
      <c r="M22" s="116">
        <v>21</v>
      </c>
      <c r="N22" s="116">
        <v>25</v>
      </c>
      <c r="O22" s="116">
        <v>15</v>
      </c>
      <c r="P22" s="116">
        <v>13</v>
      </c>
      <c r="Q22" s="1">
        <f>G22+I22+K22+M22+O22</f>
        <v>106</v>
      </c>
      <c r="R22" s="1">
        <f>H22+J22+L22+N22+P22</f>
        <v>87</v>
      </c>
      <c r="S22" s="5"/>
      <c r="T22" s="3"/>
      <c r="U22" s="3"/>
      <c r="V22" s="3"/>
      <c r="W22" s="3"/>
      <c r="X22" s="3"/>
      <c r="Y22" s="3"/>
      <c r="Z22" s="3"/>
      <c r="AA22" s="3"/>
      <c r="AB22" s="3"/>
      <c r="AC22" s="35"/>
      <c r="AD22" s="3"/>
      <c r="AE22" s="3"/>
      <c r="AF22" s="35"/>
      <c r="AG22" s="3"/>
      <c r="AH22" s="3"/>
      <c r="AI22" s="3"/>
      <c r="AJ22" s="3"/>
      <c r="AK22" s="3"/>
      <c r="AL22" s="3"/>
      <c r="AM22" s="5"/>
      <c r="AN22" s="6"/>
      <c r="AO22" s="6"/>
      <c r="AP22" s="6"/>
      <c r="AQ22" s="6"/>
      <c r="AR22" s="6"/>
      <c r="AS22" s="6"/>
      <c r="AT22" s="6"/>
      <c r="AU22" s="6"/>
      <c r="AV22" s="6"/>
    </row>
    <row r="23" spans="1:48" ht="12.75" customHeight="1">
      <c r="A23" s="1" t="s">
        <v>179</v>
      </c>
      <c r="B23" s="1" t="s">
        <v>32</v>
      </c>
      <c r="C23" s="77" t="s">
        <v>36</v>
      </c>
      <c r="D23" s="7" t="s">
        <v>154</v>
      </c>
      <c r="E23" s="1">
        <v>3</v>
      </c>
      <c r="F23" s="1">
        <v>0</v>
      </c>
      <c r="G23" s="1">
        <v>25</v>
      </c>
      <c r="H23" s="1">
        <v>12</v>
      </c>
      <c r="I23" s="1">
        <v>25</v>
      </c>
      <c r="J23" s="1">
        <v>4</v>
      </c>
      <c r="K23" s="1">
        <v>25</v>
      </c>
      <c r="L23" s="1">
        <v>8</v>
      </c>
      <c r="M23" s="1">
        <v>0</v>
      </c>
      <c r="N23" s="1">
        <v>0</v>
      </c>
      <c r="O23" s="1">
        <v>0</v>
      </c>
      <c r="P23" s="1">
        <v>0</v>
      </c>
      <c r="Q23" s="1">
        <f>G23+I23+K23+M23+O23</f>
        <v>75</v>
      </c>
      <c r="R23" s="1">
        <f>H23+J23+L23+N23+P23</f>
        <v>24</v>
      </c>
      <c r="S23" s="5"/>
      <c r="T23" s="3"/>
      <c r="U23" s="3"/>
      <c r="V23" s="3"/>
      <c r="W23" s="3"/>
      <c r="X23" s="3"/>
      <c r="Y23" s="3"/>
      <c r="Z23" s="3"/>
      <c r="AA23" s="3"/>
      <c r="AB23" s="3"/>
      <c r="AC23" s="35"/>
      <c r="AD23" s="3"/>
      <c r="AE23" s="3"/>
      <c r="AF23" s="35"/>
      <c r="AG23" s="3"/>
      <c r="AH23" s="3"/>
      <c r="AI23" s="3"/>
      <c r="AJ23" s="3"/>
      <c r="AK23" s="3"/>
      <c r="AL23" s="3"/>
      <c r="AM23" s="5"/>
      <c r="AN23" s="6"/>
      <c r="AO23" s="6"/>
      <c r="AP23" s="6"/>
      <c r="AQ23" s="6"/>
      <c r="AR23" s="6"/>
      <c r="AS23" s="6"/>
      <c r="AT23" s="6"/>
      <c r="AU23" s="6"/>
      <c r="AV23" s="6"/>
    </row>
    <row r="24" spans="1:48" ht="12.75" customHeight="1">
      <c r="A24" s="1" t="s">
        <v>180</v>
      </c>
      <c r="B24" s="1" t="s">
        <v>131</v>
      </c>
      <c r="C24" s="77" t="s">
        <v>33</v>
      </c>
      <c r="D24" s="7" t="s">
        <v>44</v>
      </c>
      <c r="E24" s="116">
        <v>3</v>
      </c>
      <c r="F24" s="116">
        <v>1</v>
      </c>
      <c r="G24" s="116">
        <v>25</v>
      </c>
      <c r="H24" s="116">
        <v>19</v>
      </c>
      <c r="I24" s="116">
        <v>25</v>
      </c>
      <c r="J24" s="116">
        <v>18</v>
      </c>
      <c r="K24" s="116">
        <v>16</v>
      </c>
      <c r="L24" s="116">
        <v>25</v>
      </c>
      <c r="M24" s="116">
        <v>25</v>
      </c>
      <c r="N24" s="116">
        <v>17</v>
      </c>
      <c r="O24" s="116">
        <v>0</v>
      </c>
      <c r="P24" s="116">
        <v>0</v>
      </c>
      <c r="Q24" s="1">
        <f>G24+I24+K24+M24+O24</f>
        <v>91</v>
      </c>
      <c r="R24" s="1">
        <f>H24+J24+L24+N24+P24</f>
        <v>79</v>
      </c>
      <c r="S24" s="6"/>
      <c r="T24" s="6"/>
      <c r="U24" s="6"/>
      <c r="V24" s="117"/>
      <c r="W24" s="117"/>
      <c r="X24" s="117"/>
      <c r="Y24" s="117"/>
      <c r="Z24" s="117"/>
      <c r="AA24" s="117"/>
      <c r="AB24" s="117"/>
      <c r="AC24" s="119"/>
      <c r="AD24" s="117"/>
      <c r="AE24" s="117"/>
      <c r="AF24" s="119"/>
      <c r="AG24" s="117"/>
      <c r="AH24" s="117"/>
      <c r="AI24" s="117"/>
      <c r="AJ24" s="117"/>
      <c r="AK24" s="117"/>
      <c r="AL24" s="117"/>
      <c r="AM24" s="6"/>
      <c r="AN24" s="6"/>
      <c r="AO24" s="6"/>
      <c r="AP24" s="6"/>
      <c r="AQ24" s="6"/>
      <c r="AR24" s="6"/>
      <c r="AS24" s="6"/>
      <c r="AT24" s="6"/>
      <c r="AU24" s="6"/>
      <c r="AV24" s="6"/>
    </row>
    <row r="25" spans="1:48" ht="12.75" customHeight="1">
      <c r="A25" s="1" t="s">
        <v>181</v>
      </c>
      <c r="B25" s="1" t="s">
        <v>131</v>
      </c>
      <c r="C25" s="7" t="s">
        <v>154</v>
      </c>
      <c r="D25" s="77" t="s">
        <v>39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>
        <f>G25+I25+K25+M25+O25</f>
        <v>0</v>
      </c>
      <c r="R25" s="1">
        <f>H25+J25+L25+N25+P25</f>
        <v>0</v>
      </c>
      <c r="S25" s="6"/>
      <c r="T25" s="6"/>
      <c r="U25" s="6"/>
      <c r="V25" s="117"/>
      <c r="W25" s="117"/>
      <c r="X25" s="117"/>
      <c r="Y25" s="117"/>
      <c r="Z25" s="117"/>
      <c r="AA25" s="117"/>
      <c r="AB25" s="117"/>
      <c r="AC25" s="119"/>
      <c r="AD25" s="117"/>
      <c r="AE25" s="117"/>
      <c r="AF25" s="119"/>
      <c r="AG25" s="117"/>
      <c r="AH25" s="117"/>
      <c r="AI25" s="117"/>
      <c r="AJ25" s="117"/>
      <c r="AK25" s="117"/>
      <c r="AL25" s="117"/>
      <c r="AM25" s="6"/>
      <c r="AN25" s="6"/>
      <c r="AO25" s="6"/>
      <c r="AP25" s="6"/>
      <c r="AQ25" s="6"/>
      <c r="AR25" s="6"/>
      <c r="AS25" s="6"/>
      <c r="AT25" s="6"/>
      <c r="AU25" s="6"/>
      <c r="AV25" s="6"/>
    </row>
    <row r="26" spans="1:48" ht="12.75" customHeight="1">
      <c r="A26" s="1" t="s">
        <v>182</v>
      </c>
      <c r="B26" s="1" t="s">
        <v>131</v>
      </c>
      <c r="C26" s="77" t="s">
        <v>36</v>
      </c>
      <c r="D26" s="7" t="s">
        <v>155</v>
      </c>
      <c r="E26" s="116">
        <v>0</v>
      </c>
      <c r="F26" s="116">
        <v>3</v>
      </c>
      <c r="G26" s="116">
        <v>18</v>
      </c>
      <c r="H26" s="116">
        <v>25</v>
      </c>
      <c r="I26" s="116">
        <v>13</v>
      </c>
      <c r="J26" s="116">
        <v>25</v>
      </c>
      <c r="K26" s="116">
        <v>18</v>
      </c>
      <c r="L26" s="116">
        <v>25</v>
      </c>
      <c r="M26" s="116">
        <v>0</v>
      </c>
      <c r="N26" s="116">
        <v>0</v>
      </c>
      <c r="O26" s="116">
        <v>0</v>
      </c>
      <c r="P26" s="116">
        <v>0</v>
      </c>
      <c r="Q26" s="1">
        <f>G26+I26+K26+M26+O26</f>
        <v>49</v>
      </c>
      <c r="R26" s="1">
        <f>H26+J26+L26+N26+P26</f>
        <v>75</v>
      </c>
      <c r="S26" s="6"/>
      <c r="T26" s="6"/>
      <c r="U26" s="6"/>
      <c r="V26" s="117"/>
      <c r="W26" s="117"/>
      <c r="X26" s="117"/>
      <c r="Y26" s="117"/>
      <c r="Z26" s="117"/>
      <c r="AA26" s="117"/>
      <c r="AB26" s="117"/>
      <c r="AC26" s="119"/>
      <c r="AD26" s="117"/>
      <c r="AE26" s="117"/>
      <c r="AF26" s="119"/>
      <c r="AG26" s="117"/>
      <c r="AH26" s="117"/>
      <c r="AI26" s="117"/>
      <c r="AJ26" s="117"/>
      <c r="AK26" s="117"/>
      <c r="AL26" s="117"/>
      <c r="AM26" s="6"/>
      <c r="AN26" s="6"/>
      <c r="AO26" s="6"/>
      <c r="AP26" s="6"/>
      <c r="AQ26" s="6"/>
      <c r="AR26" s="6"/>
      <c r="AS26" s="6"/>
      <c r="AT26" s="6"/>
      <c r="AU26" s="6"/>
      <c r="AV26" s="6"/>
    </row>
    <row r="27" spans="1:48" ht="12.75" customHeight="1">
      <c r="A27" s="1" t="s">
        <v>183</v>
      </c>
      <c r="B27" s="1" t="s">
        <v>131</v>
      </c>
      <c r="C27" s="77" t="s">
        <v>42</v>
      </c>
      <c r="D27" s="77" t="s">
        <v>33</v>
      </c>
      <c r="E27" s="116">
        <v>3</v>
      </c>
      <c r="F27" s="116">
        <v>0</v>
      </c>
      <c r="G27" s="116">
        <v>25</v>
      </c>
      <c r="H27" s="116">
        <v>16</v>
      </c>
      <c r="I27" s="116">
        <v>25</v>
      </c>
      <c r="J27" s="116">
        <v>18</v>
      </c>
      <c r="K27" s="116">
        <v>25</v>
      </c>
      <c r="L27" s="116">
        <v>16</v>
      </c>
      <c r="M27" s="116">
        <v>0</v>
      </c>
      <c r="N27" s="116">
        <v>0</v>
      </c>
      <c r="O27" s="116">
        <v>0</v>
      </c>
      <c r="P27" s="116">
        <v>0</v>
      </c>
      <c r="Q27" s="1">
        <f>G27+I27+K27+M27+O27</f>
        <v>75</v>
      </c>
      <c r="R27" s="1">
        <f>H27+J27+L27+N27+P27</f>
        <v>50</v>
      </c>
      <c r="S27" s="6"/>
      <c r="T27" s="6"/>
      <c r="U27" s="6"/>
      <c r="V27" s="117"/>
      <c r="W27" s="117"/>
      <c r="X27" s="117"/>
      <c r="Y27" s="117"/>
      <c r="Z27" s="117"/>
      <c r="AA27" s="117"/>
      <c r="AB27" s="117"/>
      <c r="AC27" s="119"/>
      <c r="AD27" s="117"/>
      <c r="AE27" s="117"/>
      <c r="AF27" s="119"/>
      <c r="AG27" s="117"/>
      <c r="AH27" s="117"/>
      <c r="AI27" s="117"/>
      <c r="AJ27" s="117"/>
      <c r="AK27" s="117"/>
      <c r="AL27" s="117"/>
      <c r="AM27" s="6"/>
      <c r="AN27" s="6"/>
      <c r="AO27" s="6"/>
      <c r="AP27" s="6"/>
      <c r="AQ27" s="6"/>
      <c r="AR27" s="6"/>
      <c r="AS27" s="6"/>
      <c r="AT27" s="6"/>
      <c r="AU27" s="6"/>
      <c r="AV27" s="6"/>
    </row>
    <row r="28" spans="1:48" ht="12.75" customHeight="1">
      <c r="A28" s="1" t="s">
        <v>184</v>
      </c>
      <c r="B28" s="1" t="s">
        <v>131</v>
      </c>
      <c r="C28" s="7" t="s">
        <v>39</v>
      </c>
      <c r="D28" s="77" t="s">
        <v>36</v>
      </c>
      <c r="E28" s="116">
        <v>0</v>
      </c>
      <c r="F28" s="116">
        <v>3</v>
      </c>
      <c r="G28" s="116">
        <v>22</v>
      </c>
      <c r="H28" s="116">
        <v>25</v>
      </c>
      <c r="I28" s="116">
        <v>13</v>
      </c>
      <c r="J28" s="116">
        <v>25</v>
      </c>
      <c r="K28" s="116">
        <v>16</v>
      </c>
      <c r="L28" s="116">
        <v>25</v>
      </c>
      <c r="M28" s="116">
        <v>0</v>
      </c>
      <c r="N28" s="116">
        <v>0</v>
      </c>
      <c r="O28" s="116">
        <v>0</v>
      </c>
      <c r="P28" s="116">
        <v>0</v>
      </c>
      <c r="Q28" s="1">
        <f>G28+I28+K28+M28+O28</f>
        <v>51</v>
      </c>
      <c r="R28" s="1">
        <f>H28+J28+L28+N28+P28</f>
        <v>75</v>
      </c>
      <c r="S28" s="6"/>
      <c r="T28" s="6"/>
      <c r="U28" s="6"/>
      <c r="V28" s="117"/>
      <c r="W28" s="117"/>
      <c r="X28" s="117"/>
      <c r="Y28" s="117"/>
      <c r="Z28" s="117"/>
      <c r="AA28" s="117"/>
      <c r="AB28" s="117"/>
      <c r="AC28" s="119"/>
      <c r="AD28" s="117"/>
      <c r="AE28" s="117"/>
      <c r="AF28" s="119"/>
      <c r="AG28" s="117"/>
      <c r="AH28" s="117"/>
      <c r="AI28" s="117"/>
      <c r="AJ28" s="117"/>
      <c r="AK28" s="117"/>
      <c r="AL28" s="117"/>
      <c r="AM28" s="6"/>
      <c r="AN28" s="6"/>
      <c r="AO28" s="6"/>
      <c r="AP28" s="6"/>
      <c r="AQ28" s="6"/>
      <c r="AR28" s="6"/>
      <c r="AS28" s="6"/>
      <c r="AT28" s="6"/>
      <c r="AU28" s="6"/>
      <c r="AV28" s="6"/>
    </row>
    <row r="29" spans="1:48" ht="12.75" customHeight="1">
      <c r="A29" s="1" t="s">
        <v>185</v>
      </c>
      <c r="B29" s="1" t="s">
        <v>131</v>
      </c>
      <c r="C29" s="7" t="s">
        <v>155</v>
      </c>
      <c r="D29" s="77" t="s">
        <v>154</v>
      </c>
      <c r="E29" s="116">
        <v>3</v>
      </c>
      <c r="F29" s="116">
        <v>0</v>
      </c>
      <c r="G29" s="116">
        <v>25</v>
      </c>
      <c r="H29" s="116">
        <v>11</v>
      </c>
      <c r="I29" s="116">
        <v>25</v>
      </c>
      <c r="J29" s="116">
        <v>4</v>
      </c>
      <c r="K29" s="116">
        <v>25</v>
      </c>
      <c r="L29" s="116">
        <v>3</v>
      </c>
      <c r="M29" s="116">
        <v>0</v>
      </c>
      <c r="N29" s="116">
        <v>0</v>
      </c>
      <c r="O29" s="116">
        <v>0</v>
      </c>
      <c r="P29" s="116">
        <v>0</v>
      </c>
      <c r="Q29" s="1">
        <f>G29+I29+K29+M29+O29</f>
        <v>75</v>
      </c>
      <c r="R29" s="1">
        <f>H29+J29+L29+N29+P29</f>
        <v>18</v>
      </c>
      <c r="S29" s="6"/>
      <c r="T29" s="6"/>
      <c r="U29" s="6"/>
      <c r="V29" s="117"/>
      <c r="W29" s="117"/>
      <c r="X29" s="117"/>
      <c r="Y29" s="117"/>
      <c r="Z29" s="117"/>
      <c r="AA29" s="117"/>
      <c r="AB29" s="117"/>
      <c r="AC29" s="119"/>
      <c r="AD29" s="117"/>
      <c r="AE29" s="117"/>
      <c r="AF29" s="119"/>
      <c r="AG29" s="117"/>
      <c r="AH29" s="117"/>
      <c r="AI29" s="117"/>
      <c r="AJ29" s="117"/>
      <c r="AK29" s="117"/>
      <c r="AL29" s="117"/>
      <c r="AM29" s="6"/>
      <c r="AN29" s="6"/>
      <c r="AO29" s="6"/>
      <c r="AP29" s="6"/>
      <c r="AQ29" s="6"/>
      <c r="AR29" s="6"/>
      <c r="AS29" s="6"/>
      <c r="AT29" s="6"/>
      <c r="AU29" s="6"/>
      <c r="AV29" s="6"/>
    </row>
    <row r="30" spans="1:48" ht="12.75" customHeight="1">
      <c r="A30" s="1" t="s">
        <v>186</v>
      </c>
      <c r="B30" s="1" t="s">
        <v>131</v>
      </c>
      <c r="C30" s="77" t="s">
        <v>154</v>
      </c>
      <c r="D30" s="7" t="s">
        <v>42</v>
      </c>
      <c r="E30" s="116">
        <v>0</v>
      </c>
      <c r="F30" s="116">
        <v>3</v>
      </c>
      <c r="G30" s="116">
        <v>6</v>
      </c>
      <c r="H30" s="116">
        <v>25</v>
      </c>
      <c r="I30" s="116">
        <v>2</v>
      </c>
      <c r="J30" s="116">
        <v>25</v>
      </c>
      <c r="K30" s="116">
        <v>6</v>
      </c>
      <c r="L30" s="116">
        <v>25</v>
      </c>
      <c r="M30" s="116">
        <v>0</v>
      </c>
      <c r="N30" s="116">
        <v>0</v>
      </c>
      <c r="O30" s="116">
        <v>0</v>
      </c>
      <c r="P30" s="116">
        <v>0</v>
      </c>
      <c r="Q30" s="1">
        <f>G30+I30+K30+M30+O30</f>
        <v>14</v>
      </c>
      <c r="R30" s="1">
        <f>H30+J30+L30+N30+P30</f>
        <v>75</v>
      </c>
      <c r="S30" s="6"/>
      <c r="T30" s="6"/>
      <c r="U30" s="6"/>
      <c r="V30" s="117"/>
      <c r="W30" s="117"/>
      <c r="X30" s="117"/>
      <c r="Y30" s="117"/>
      <c r="Z30" s="117"/>
      <c r="AA30" s="117"/>
      <c r="AB30" s="117"/>
      <c r="AC30" s="119"/>
      <c r="AD30" s="117"/>
      <c r="AE30" s="117"/>
      <c r="AF30" s="119"/>
      <c r="AG30" s="117"/>
      <c r="AH30" s="117"/>
      <c r="AI30" s="117"/>
      <c r="AJ30" s="117"/>
      <c r="AK30" s="117"/>
      <c r="AL30" s="117"/>
      <c r="AM30" s="6"/>
      <c r="AN30" s="6"/>
      <c r="AO30" s="6"/>
      <c r="AP30" s="6"/>
      <c r="AQ30" s="6"/>
      <c r="AR30" s="6"/>
      <c r="AS30" s="6"/>
      <c r="AT30" s="6"/>
      <c r="AU30" s="6"/>
      <c r="AV30" s="6"/>
    </row>
    <row r="31" spans="1:48" ht="12.75" customHeight="1">
      <c r="A31" s="1" t="s">
        <v>187</v>
      </c>
      <c r="B31" s="1" t="s">
        <v>131</v>
      </c>
      <c r="C31" s="77" t="s">
        <v>44</v>
      </c>
      <c r="D31" s="77" t="s">
        <v>36</v>
      </c>
      <c r="E31" s="116">
        <v>0</v>
      </c>
      <c r="F31" s="116">
        <v>3</v>
      </c>
      <c r="G31" s="116">
        <v>20</v>
      </c>
      <c r="H31" s="116">
        <v>25</v>
      </c>
      <c r="I31" s="116">
        <v>23</v>
      </c>
      <c r="J31" s="116">
        <v>25</v>
      </c>
      <c r="K31" s="116">
        <v>17</v>
      </c>
      <c r="L31" s="116">
        <v>25</v>
      </c>
      <c r="M31" s="116">
        <v>0</v>
      </c>
      <c r="N31" s="116">
        <v>0</v>
      </c>
      <c r="O31" s="116">
        <v>0</v>
      </c>
      <c r="P31" s="116">
        <v>0</v>
      </c>
      <c r="Q31" s="1">
        <f>G31+I31+K31+M31+O31</f>
        <v>60</v>
      </c>
      <c r="R31" s="1">
        <f>H31+J31+L31+N31+P31</f>
        <v>75</v>
      </c>
      <c r="S31" s="6"/>
      <c r="T31" s="6"/>
      <c r="U31" s="6"/>
      <c r="V31" s="117"/>
      <c r="W31" s="117"/>
      <c r="X31" s="117"/>
      <c r="Y31" s="117"/>
      <c r="Z31" s="117"/>
      <c r="AA31" s="117"/>
      <c r="AB31" s="117"/>
      <c r="AC31" s="119"/>
      <c r="AD31" s="117"/>
      <c r="AE31" s="117"/>
      <c r="AF31" s="119"/>
      <c r="AG31" s="117"/>
      <c r="AH31" s="117"/>
      <c r="AI31" s="117"/>
      <c r="AJ31" s="117"/>
      <c r="AK31" s="117"/>
      <c r="AL31" s="117"/>
      <c r="AM31" s="6"/>
      <c r="AN31" s="6"/>
      <c r="AO31" s="6"/>
      <c r="AP31" s="6"/>
      <c r="AQ31" s="6"/>
      <c r="AR31" s="6"/>
      <c r="AS31" s="6"/>
      <c r="AT31" s="6"/>
      <c r="AU31" s="6"/>
      <c r="AV31" s="6"/>
    </row>
    <row r="32" spans="1:48" ht="12.75" customHeight="1">
      <c r="A32" s="1" t="s">
        <v>189</v>
      </c>
      <c r="B32" s="1" t="s">
        <v>131</v>
      </c>
      <c r="C32" s="77" t="s">
        <v>33</v>
      </c>
      <c r="D32" s="7" t="s">
        <v>155</v>
      </c>
      <c r="E32" s="116">
        <v>1</v>
      </c>
      <c r="F32" s="116">
        <v>3</v>
      </c>
      <c r="G32" s="116">
        <v>23</v>
      </c>
      <c r="H32" s="116">
        <v>25</v>
      </c>
      <c r="I32" s="116">
        <v>25</v>
      </c>
      <c r="J32" s="116">
        <v>17</v>
      </c>
      <c r="K32" s="116">
        <v>17</v>
      </c>
      <c r="L32" s="116">
        <v>25</v>
      </c>
      <c r="M32" s="116">
        <v>22</v>
      </c>
      <c r="N32" s="116">
        <v>25</v>
      </c>
      <c r="O32" s="116">
        <v>0</v>
      </c>
      <c r="P32" s="116">
        <v>0</v>
      </c>
      <c r="Q32" s="1">
        <f>G32+I32+K32+M32+O32</f>
        <v>87</v>
      </c>
      <c r="R32" s="1">
        <f>H32+J32+L32+N32+P32</f>
        <v>92</v>
      </c>
      <c r="S32" s="6"/>
      <c r="T32" s="6"/>
      <c r="U32" s="6"/>
      <c r="V32" s="117"/>
      <c r="W32" s="117"/>
      <c r="X32" s="117"/>
      <c r="Y32" s="117"/>
      <c r="Z32" s="117"/>
      <c r="AA32" s="117"/>
      <c r="AB32" s="117"/>
      <c r="AC32" s="119"/>
      <c r="AD32" s="117"/>
      <c r="AE32" s="117"/>
      <c r="AF32" s="119"/>
      <c r="AG32" s="117"/>
      <c r="AH32" s="117"/>
      <c r="AI32" s="117"/>
      <c r="AJ32" s="117"/>
      <c r="AK32" s="117"/>
      <c r="AL32" s="117"/>
      <c r="AM32" s="6"/>
      <c r="AN32" s="6"/>
      <c r="AO32" s="6"/>
      <c r="AP32" s="6"/>
      <c r="AQ32" s="6"/>
      <c r="AR32" s="6"/>
      <c r="AS32" s="6"/>
      <c r="AT32" s="6"/>
      <c r="AU32" s="6"/>
      <c r="AV32" s="6"/>
    </row>
    <row r="33" spans="1:48" ht="12.75" customHeight="1">
      <c r="A33" s="1" t="s">
        <v>190</v>
      </c>
      <c r="B33" s="1" t="s">
        <v>131</v>
      </c>
      <c r="C33" s="77" t="s">
        <v>36</v>
      </c>
      <c r="D33" s="77" t="s">
        <v>42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>
        <f>G33+I33+K33+M33+O33</f>
        <v>0</v>
      </c>
      <c r="R33" s="1">
        <f>H33+J33+L33+N33+P33</f>
        <v>0</v>
      </c>
      <c r="S33" s="6"/>
      <c r="T33" s="6"/>
      <c r="U33" s="6"/>
      <c r="V33" s="117"/>
      <c r="W33" s="117"/>
      <c r="X33" s="117"/>
      <c r="Y33" s="117"/>
      <c r="Z33" s="117"/>
      <c r="AA33" s="117"/>
      <c r="AB33" s="117"/>
      <c r="AC33" s="119"/>
      <c r="AD33" s="117"/>
      <c r="AE33" s="117"/>
      <c r="AF33" s="119"/>
      <c r="AG33" s="117"/>
      <c r="AH33" s="117"/>
      <c r="AI33" s="117"/>
      <c r="AJ33" s="117"/>
      <c r="AK33" s="117"/>
      <c r="AL33" s="117"/>
      <c r="AM33" s="6"/>
      <c r="AN33" s="6"/>
      <c r="AO33" s="6"/>
      <c r="AP33" s="6"/>
      <c r="AQ33" s="6"/>
      <c r="AR33" s="6"/>
      <c r="AS33" s="6"/>
      <c r="AT33" s="6"/>
      <c r="AU33" s="6"/>
      <c r="AV33" s="6"/>
    </row>
    <row r="34" spans="1:48" ht="12.75" customHeight="1">
      <c r="A34" s="1" t="s">
        <v>191</v>
      </c>
      <c r="B34" s="1" t="s">
        <v>131</v>
      </c>
      <c r="C34" s="77" t="s">
        <v>44</v>
      </c>
      <c r="D34" s="7" t="s">
        <v>154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f>G34+I34+K34+M34+O34</f>
        <v>0</v>
      </c>
      <c r="R34" s="1">
        <f>H34+J34+L34+N34+P34</f>
        <v>0</v>
      </c>
      <c r="S34" s="6"/>
      <c r="T34" s="6"/>
      <c r="U34" s="6"/>
      <c r="V34" s="117"/>
      <c r="W34" s="117"/>
      <c r="X34" s="117"/>
      <c r="Y34" s="117"/>
      <c r="Z34" s="117"/>
      <c r="AA34" s="117"/>
      <c r="AB34" s="117"/>
      <c r="AC34" s="119"/>
      <c r="AD34" s="117"/>
      <c r="AE34" s="117"/>
      <c r="AF34" s="119"/>
      <c r="AG34" s="117"/>
      <c r="AH34" s="117"/>
      <c r="AI34" s="117"/>
      <c r="AJ34" s="117"/>
      <c r="AK34" s="117"/>
      <c r="AL34" s="117"/>
      <c r="AM34" s="6"/>
      <c r="AN34" s="6"/>
      <c r="AO34" s="6"/>
      <c r="AP34" s="6"/>
      <c r="AQ34" s="6"/>
      <c r="AR34" s="6"/>
      <c r="AS34" s="6"/>
      <c r="AT34" s="6"/>
      <c r="AU34" s="6"/>
      <c r="AV34" s="6"/>
    </row>
    <row r="35" spans="1:48" ht="12.75" customHeight="1">
      <c r="A35" s="1" t="s">
        <v>192</v>
      </c>
      <c r="B35" s="1" t="s">
        <v>131</v>
      </c>
      <c r="C35" s="77" t="s">
        <v>39</v>
      </c>
      <c r="D35" s="7" t="s">
        <v>33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>
        <f>G35+I35+K35+M35+O35</f>
        <v>0</v>
      </c>
      <c r="R35" s="1">
        <f>H35+J35+L35+N35+P35</f>
        <v>0</v>
      </c>
      <c r="S35" s="6"/>
      <c r="T35" s="6"/>
      <c r="U35" s="6"/>
      <c r="V35" s="117"/>
      <c r="W35" s="117"/>
      <c r="X35" s="117"/>
      <c r="Y35" s="117"/>
      <c r="Z35" s="117"/>
      <c r="AA35" s="117"/>
      <c r="AB35" s="117"/>
      <c r="AC35" s="119"/>
      <c r="AD35" s="117"/>
      <c r="AE35" s="117"/>
      <c r="AF35" s="119"/>
      <c r="AG35" s="117"/>
      <c r="AH35" s="117"/>
      <c r="AI35" s="117"/>
      <c r="AJ35" s="117"/>
      <c r="AK35" s="117"/>
      <c r="AL35" s="117"/>
      <c r="AM35" s="6"/>
      <c r="AN35" s="6"/>
      <c r="AO35" s="6"/>
      <c r="AP35" s="6"/>
      <c r="AQ35" s="6"/>
      <c r="AR35" s="6"/>
      <c r="AS35" s="6"/>
      <c r="AT35" s="6"/>
      <c r="AU35" s="6"/>
      <c r="AV35" s="6"/>
    </row>
    <row r="36" spans="1:48" ht="12.75" customHeight="1">
      <c r="A36" s="1" t="s">
        <v>193</v>
      </c>
      <c r="B36" s="1" t="s">
        <v>131</v>
      </c>
      <c r="C36" s="7" t="s">
        <v>42</v>
      </c>
      <c r="D36" s="7" t="s">
        <v>155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>
        <f>G36+I36+K36+M36+O36</f>
        <v>0</v>
      </c>
      <c r="R36" s="1">
        <f>H36+J36+L36+N36+P36</f>
        <v>0</v>
      </c>
      <c r="S36" s="6"/>
      <c r="T36" s="6"/>
      <c r="U36" s="6"/>
      <c r="V36" s="117"/>
      <c r="W36" s="117"/>
      <c r="X36" s="117"/>
      <c r="Y36" s="117"/>
      <c r="Z36" s="117"/>
      <c r="AA36" s="117"/>
      <c r="AB36" s="117"/>
      <c r="AC36" s="119"/>
      <c r="AD36" s="117"/>
      <c r="AE36" s="117"/>
      <c r="AF36" s="119"/>
      <c r="AG36" s="117"/>
      <c r="AH36" s="117"/>
      <c r="AI36" s="117"/>
      <c r="AJ36" s="117"/>
      <c r="AK36" s="117"/>
      <c r="AL36" s="117"/>
      <c r="AM36" s="6"/>
      <c r="AN36" s="6"/>
      <c r="AO36" s="6"/>
      <c r="AP36" s="6"/>
      <c r="AQ36" s="6"/>
      <c r="AR36" s="6"/>
      <c r="AS36" s="6"/>
      <c r="AT36" s="6"/>
      <c r="AU36" s="6"/>
      <c r="AV36" s="6"/>
    </row>
    <row r="37" spans="1:48" ht="12.75" customHeight="1">
      <c r="A37" s="1" t="s">
        <v>194</v>
      </c>
      <c r="B37" s="1" t="s">
        <v>131</v>
      </c>
      <c r="C37" s="77" t="s">
        <v>44</v>
      </c>
      <c r="D37" s="7" t="s">
        <v>39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f>G37+I37+K37+M37+O37</f>
        <v>0</v>
      </c>
      <c r="R37" s="1">
        <f>H37+J37+L37+N37+P37</f>
        <v>0</v>
      </c>
      <c r="S37" s="6"/>
      <c r="T37" s="6"/>
      <c r="U37" s="6"/>
      <c r="V37" s="117"/>
      <c r="W37" s="117"/>
      <c r="X37" s="117"/>
      <c r="Y37" s="117"/>
      <c r="Z37" s="117"/>
      <c r="AA37" s="117"/>
      <c r="AB37" s="117"/>
      <c r="AC37" s="119"/>
      <c r="AD37" s="117"/>
      <c r="AE37" s="117"/>
      <c r="AF37" s="119"/>
      <c r="AG37" s="117"/>
      <c r="AH37" s="117"/>
      <c r="AI37" s="117"/>
      <c r="AJ37" s="117"/>
      <c r="AK37" s="117"/>
      <c r="AL37" s="117"/>
      <c r="AM37" s="6"/>
      <c r="AN37" s="6"/>
      <c r="AO37" s="6"/>
      <c r="AP37" s="6"/>
      <c r="AQ37" s="6"/>
      <c r="AR37" s="6"/>
      <c r="AS37" s="6"/>
      <c r="AT37" s="6"/>
      <c r="AU37" s="6"/>
      <c r="AV37" s="6"/>
    </row>
    <row r="38" spans="1:48" ht="12.75" customHeight="1">
      <c r="A38" s="1" t="s">
        <v>195</v>
      </c>
      <c r="B38" s="1" t="s">
        <v>131</v>
      </c>
      <c r="C38" s="77" t="s">
        <v>33</v>
      </c>
      <c r="D38" s="7" t="s">
        <v>154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>
        <f>G38+I38+K38+M38+O38</f>
        <v>0</v>
      </c>
      <c r="R38" s="1">
        <f>H38+J38+L38+N38+P38</f>
        <v>0</v>
      </c>
      <c r="S38" s="6"/>
      <c r="T38" s="6"/>
      <c r="U38" s="6"/>
      <c r="V38" s="117"/>
      <c r="W38" s="117"/>
      <c r="X38" s="117"/>
      <c r="Y38" s="117"/>
      <c r="Z38" s="117"/>
      <c r="AA38" s="117"/>
      <c r="AB38" s="117"/>
      <c r="AC38" s="119"/>
      <c r="AD38" s="117"/>
      <c r="AE38" s="117"/>
      <c r="AF38" s="119"/>
      <c r="AG38" s="117"/>
      <c r="AH38" s="117"/>
      <c r="AI38" s="117"/>
      <c r="AJ38" s="117"/>
      <c r="AK38" s="117"/>
      <c r="AL38" s="117"/>
      <c r="AM38" s="6"/>
      <c r="AN38" s="6"/>
      <c r="AO38" s="6"/>
      <c r="AP38" s="6"/>
      <c r="AQ38" s="6"/>
      <c r="AR38" s="6"/>
      <c r="AS38" s="6"/>
      <c r="AT38" s="6"/>
      <c r="AU38" s="6"/>
      <c r="AV38" s="6"/>
    </row>
    <row r="39" spans="1:48" ht="12.75" customHeight="1">
      <c r="A39" s="1" t="s">
        <v>196</v>
      </c>
      <c r="B39" s="1" t="s">
        <v>131</v>
      </c>
      <c r="C39" s="7" t="s">
        <v>39</v>
      </c>
      <c r="D39" s="77" t="s">
        <v>42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>
        <f>G39+I39+K39+M39+O39</f>
        <v>0</v>
      </c>
      <c r="R39" s="1">
        <f>H39+J39+L39+N39+P39</f>
        <v>0</v>
      </c>
      <c r="S39" s="6"/>
      <c r="T39" s="6"/>
      <c r="U39" s="6"/>
      <c r="V39" s="117"/>
      <c r="W39" s="117"/>
      <c r="X39" s="117"/>
      <c r="Y39" s="117"/>
      <c r="Z39" s="117"/>
      <c r="AA39" s="117"/>
      <c r="AB39" s="117"/>
      <c r="AC39" s="119"/>
      <c r="AD39" s="117"/>
      <c r="AE39" s="117"/>
      <c r="AF39" s="119"/>
      <c r="AG39" s="117"/>
      <c r="AH39" s="117"/>
      <c r="AI39" s="117"/>
      <c r="AJ39" s="117"/>
      <c r="AK39" s="117"/>
      <c r="AL39" s="117"/>
      <c r="AM39" s="6"/>
      <c r="AN39" s="6"/>
      <c r="AO39" s="6"/>
      <c r="AP39" s="6"/>
      <c r="AQ39" s="6"/>
      <c r="AR39" s="6"/>
      <c r="AS39" s="6"/>
      <c r="AT39" s="6"/>
      <c r="AU39" s="6"/>
      <c r="AV39" s="6"/>
    </row>
    <row r="40" spans="1:48" ht="12.75" customHeight="1">
      <c r="A40" s="1" t="s">
        <v>197</v>
      </c>
      <c r="B40" s="1" t="s">
        <v>131</v>
      </c>
      <c r="C40" s="7" t="s">
        <v>155</v>
      </c>
      <c r="D40" s="77" t="s">
        <v>44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>
        <f>G40+I40+K40+M40+O40</f>
        <v>0</v>
      </c>
      <c r="R40" s="1">
        <f>H40+J40+L40+N40+P40</f>
        <v>0</v>
      </c>
      <c r="S40" s="6"/>
      <c r="T40" s="6"/>
      <c r="U40" s="6"/>
      <c r="V40" s="117"/>
      <c r="W40" s="117"/>
      <c r="X40" s="117"/>
      <c r="Y40" s="117"/>
      <c r="Z40" s="117"/>
      <c r="AA40" s="117"/>
      <c r="AB40" s="117"/>
      <c r="AC40" s="119"/>
      <c r="AD40" s="117"/>
      <c r="AE40" s="117"/>
      <c r="AF40" s="119"/>
      <c r="AG40" s="117"/>
      <c r="AH40" s="117"/>
      <c r="AI40" s="117"/>
      <c r="AJ40" s="117"/>
      <c r="AK40" s="117"/>
      <c r="AL40" s="117"/>
      <c r="AM40" s="6"/>
      <c r="AN40" s="6"/>
      <c r="AO40" s="6"/>
      <c r="AP40" s="6"/>
      <c r="AQ40" s="6"/>
      <c r="AR40" s="6"/>
      <c r="AS40" s="6"/>
      <c r="AT40" s="6"/>
      <c r="AU40" s="6"/>
      <c r="AV40" s="6"/>
    </row>
    <row r="41" spans="1:48" ht="12.75" customHeight="1">
      <c r="A41" s="1" t="s">
        <v>198</v>
      </c>
      <c r="B41" s="1" t="s">
        <v>131</v>
      </c>
      <c r="C41" s="77" t="s">
        <v>36</v>
      </c>
      <c r="D41" s="77" t="s">
        <v>33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>
        <f>G41+I41+K41+M41+O41</f>
        <v>0</v>
      </c>
      <c r="R41" s="1">
        <f>H41+J41+L41+N41+P41</f>
        <v>0</v>
      </c>
      <c r="S41" s="6"/>
      <c r="T41" s="6"/>
      <c r="U41" s="6"/>
      <c r="V41" s="117"/>
      <c r="W41" s="117"/>
      <c r="X41" s="117"/>
      <c r="Y41" s="117"/>
      <c r="Z41" s="117"/>
      <c r="AA41" s="117"/>
      <c r="AB41" s="117"/>
      <c r="AC41" s="119"/>
      <c r="AD41" s="117"/>
      <c r="AE41" s="117"/>
      <c r="AF41" s="119"/>
      <c r="AG41" s="117"/>
      <c r="AH41" s="117"/>
      <c r="AI41" s="117"/>
      <c r="AJ41" s="117"/>
      <c r="AK41" s="117"/>
      <c r="AL41" s="117"/>
      <c r="AM41" s="6"/>
      <c r="AN41" s="6"/>
      <c r="AO41" s="6"/>
      <c r="AP41" s="6"/>
      <c r="AQ41" s="6"/>
      <c r="AR41" s="6"/>
      <c r="AS41" s="6"/>
      <c r="AT41" s="6"/>
      <c r="AU41" s="6"/>
      <c r="AV41" s="6"/>
    </row>
    <row r="42" spans="1:48" ht="12.75" customHeight="1">
      <c r="A42" s="1" t="s">
        <v>199</v>
      </c>
      <c r="B42" s="1" t="s">
        <v>131</v>
      </c>
      <c r="C42" s="77" t="s">
        <v>42</v>
      </c>
      <c r="D42" s="77" t="s">
        <v>44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>
        <f>G42+I42+K42+M42+O42</f>
        <v>0</v>
      </c>
      <c r="R42" s="1">
        <f>H42+J42+L42+N42+P42</f>
        <v>0</v>
      </c>
      <c r="S42" s="6"/>
      <c r="T42" s="6"/>
      <c r="U42" s="6"/>
      <c r="V42" s="117"/>
      <c r="W42" s="117"/>
      <c r="X42" s="117"/>
      <c r="Y42" s="117"/>
      <c r="Z42" s="117"/>
      <c r="AA42" s="117"/>
      <c r="AB42" s="117"/>
      <c r="AC42" s="119"/>
      <c r="AD42" s="117"/>
      <c r="AE42" s="117"/>
      <c r="AF42" s="119"/>
      <c r="AG42" s="117"/>
      <c r="AH42" s="117"/>
      <c r="AI42" s="117"/>
      <c r="AJ42" s="117"/>
      <c r="AK42" s="117"/>
      <c r="AL42" s="117"/>
      <c r="AM42" s="6"/>
      <c r="AN42" s="6"/>
      <c r="AO42" s="6"/>
      <c r="AP42" s="6"/>
      <c r="AQ42" s="6"/>
      <c r="AR42" s="6"/>
      <c r="AS42" s="6"/>
      <c r="AT42" s="6"/>
      <c r="AU42" s="6"/>
      <c r="AV42" s="6"/>
    </row>
    <row r="43" spans="1:48" ht="12.75" customHeight="1">
      <c r="A43" s="1" t="s">
        <v>200</v>
      </c>
      <c r="B43" s="1" t="s">
        <v>131</v>
      </c>
      <c r="C43" s="7" t="s">
        <v>155</v>
      </c>
      <c r="D43" s="7" t="s">
        <v>39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>
        <f>G43+I43+K43+M43+O43</f>
        <v>0</v>
      </c>
      <c r="R43" s="1">
        <f>H43+J43+L43+N43+P43</f>
        <v>0</v>
      </c>
      <c r="S43" s="6"/>
      <c r="T43" s="6"/>
      <c r="U43" s="6"/>
      <c r="V43" s="117"/>
      <c r="W43" s="117"/>
      <c r="X43" s="117"/>
      <c r="Y43" s="117"/>
      <c r="Z43" s="117"/>
      <c r="AA43" s="117"/>
      <c r="AB43" s="117"/>
      <c r="AC43" s="119"/>
      <c r="AD43" s="117"/>
      <c r="AE43" s="117"/>
      <c r="AF43" s="119"/>
      <c r="AG43" s="117"/>
      <c r="AH43" s="117"/>
      <c r="AI43" s="117"/>
      <c r="AJ43" s="117"/>
      <c r="AK43" s="117"/>
      <c r="AL43" s="117"/>
      <c r="AM43" s="6"/>
      <c r="AN43" s="6"/>
      <c r="AO43" s="6"/>
      <c r="AP43" s="6"/>
      <c r="AQ43" s="6"/>
      <c r="AR43" s="6"/>
      <c r="AS43" s="6"/>
      <c r="AT43" s="6"/>
      <c r="AU43" s="6"/>
      <c r="AV43" s="6"/>
    </row>
    <row r="44" spans="1:48" ht="12.75" customHeight="1">
      <c r="A44" s="1" t="s">
        <v>201</v>
      </c>
      <c r="B44" s="1" t="s">
        <v>131</v>
      </c>
      <c r="C44" s="7" t="s">
        <v>154</v>
      </c>
      <c r="D44" s="77" t="s">
        <v>36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>
        <f>G44+I44+K44+M44+O44</f>
        <v>0</v>
      </c>
      <c r="R44" s="1">
        <f>H44+J44+L44+N44+P44</f>
        <v>0</v>
      </c>
      <c r="S44" s="6"/>
      <c r="T44" s="6"/>
      <c r="U44" s="6"/>
      <c r="V44" s="117"/>
      <c r="W44" s="117"/>
      <c r="X44" s="117"/>
      <c r="Y44" s="117"/>
      <c r="Z44" s="117"/>
      <c r="AA44" s="117"/>
      <c r="AB44" s="117"/>
      <c r="AC44" s="119"/>
      <c r="AD44" s="117"/>
      <c r="AE44" s="117"/>
      <c r="AF44" s="119"/>
      <c r="AG44" s="117"/>
      <c r="AH44" s="117"/>
      <c r="AI44" s="117"/>
      <c r="AJ44" s="117"/>
      <c r="AK44" s="117"/>
      <c r="AL44" s="117"/>
      <c r="AM44" s="6"/>
      <c r="AN44" s="6"/>
      <c r="AO44" s="6"/>
      <c r="AP44" s="6"/>
      <c r="AQ44" s="6"/>
      <c r="AR44" s="6"/>
      <c r="AS44" s="6"/>
      <c r="AT44" s="6"/>
      <c r="AU44" s="6"/>
      <c r="AV44" s="6"/>
    </row>
    <row r="45" spans="1:48" ht="12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117"/>
      <c r="W45" s="117"/>
      <c r="X45" s="117"/>
      <c r="Y45" s="117"/>
      <c r="Z45" s="117"/>
      <c r="AA45" s="117"/>
      <c r="AB45" s="117"/>
      <c r="AC45" s="119"/>
      <c r="AD45" s="117"/>
      <c r="AE45" s="117"/>
      <c r="AF45" s="119"/>
      <c r="AG45" s="117"/>
      <c r="AH45" s="117"/>
      <c r="AI45" s="117"/>
      <c r="AJ45" s="117"/>
      <c r="AK45" s="117"/>
      <c r="AL45" s="117"/>
      <c r="AM45" s="6"/>
      <c r="AN45" s="6"/>
      <c r="AO45" s="6"/>
      <c r="AP45" s="6"/>
      <c r="AQ45" s="6"/>
      <c r="AR45" s="6"/>
      <c r="AS45" s="6"/>
      <c r="AT45" s="6"/>
      <c r="AU45" s="6"/>
      <c r="AV45" s="6"/>
    </row>
  </sheetData>
  <sheetProtection/>
  <mergeCells count="15">
    <mergeCell ref="U16:AM19"/>
    <mergeCell ref="AD1:AF1"/>
    <mergeCell ref="AG1:AL1"/>
    <mergeCell ref="AA1:AC1"/>
    <mergeCell ref="E2:F2"/>
    <mergeCell ref="Q2:R2"/>
    <mergeCell ref="O2:P2"/>
    <mergeCell ref="E1:F1"/>
    <mergeCell ref="G1:R1"/>
    <mergeCell ref="W1:Z1"/>
    <mergeCell ref="K2:L2"/>
    <mergeCell ref="M2:N2"/>
    <mergeCell ref="C1:D1"/>
    <mergeCell ref="I2:J2"/>
    <mergeCell ref="G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27"/>
  <sheetViews>
    <sheetView showGridLines="0" zoomScalePageLayoutView="0" workbookViewId="0" topLeftCell="A1">
      <selection activeCell="A1" sqref="A1"/>
    </sheetView>
  </sheetViews>
  <sheetFormatPr defaultColWidth="14.421875" defaultRowHeight="15" customHeight="1"/>
  <cols>
    <col min="1" max="1" width="7.28125" style="0" customWidth="1"/>
    <col min="2" max="2" width="11.7109375" style="0" customWidth="1"/>
    <col min="3" max="3" width="25.8515625" style="0" customWidth="1"/>
    <col min="4" max="4" width="26.8515625" style="0" customWidth="1"/>
    <col min="5" max="18" width="5.7109375" style="0" customWidth="1"/>
    <col min="19" max="19" width="4.140625" style="0" customWidth="1"/>
    <col min="20" max="20" width="3.28125" style="0" customWidth="1"/>
    <col min="21" max="21" width="19.8515625" style="0" customWidth="1"/>
    <col min="22" max="22" width="7.8515625" style="0" customWidth="1"/>
    <col min="23" max="24" width="5.28125" style="0" customWidth="1"/>
    <col min="25" max="25" width="5.140625" style="0" customWidth="1"/>
    <col min="26" max="26" width="4.57421875" style="0" customWidth="1"/>
    <col min="27" max="27" width="4.8515625" style="0" customWidth="1"/>
    <col min="28" max="28" width="4.7109375" style="0" customWidth="1"/>
    <col min="29" max="29" width="5.140625" style="0" customWidth="1"/>
    <col min="30" max="31" width="5.7109375" style="0" customWidth="1"/>
    <col min="32" max="33" width="5.140625" style="0" customWidth="1"/>
    <col min="34" max="34" width="4.7109375" style="0" customWidth="1"/>
    <col min="35" max="35" width="4.8515625" style="0" customWidth="1"/>
    <col min="36" max="36" width="5.140625" style="0" customWidth="1"/>
    <col min="37" max="37" width="4.28125" style="0" customWidth="1"/>
    <col min="38" max="38" width="5.00390625" style="0" customWidth="1"/>
    <col min="39" max="48" width="11.421875" style="0" customWidth="1"/>
  </cols>
  <sheetData>
    <row r="1" spans="1:48" ht="12.75" customHeight="1">
      <c r="A1" s="1" t="s">
        <v>13</v>
      </c>
      <c r="B1" s="1"/>
      <c r="C1" s="159" t="s">
        <v>0</v>
      </c>
      <c r="D1" s="143"/>
      <c r="E1" s="158"/>
      <c r="F1" s="143"/>
      <c r="G1" s="159" t="s">
        <v>1</v>
      </c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3"/>
      <c r="S1" s="3"/>
      <c r="T1" s="4"/>
      <c r="U1" s="4" t="s">
        <v>3</v>
      </c>
      <c r="V1" s="4" t="s">
        <v>3</v>
      </c>
      <c r="W1" s="157" t="s">
        <v>4</v>
      </c>
      <c r="X1" s="142"/>
      <c r="Y1" s="142"/>
      <c r="Z1" s="143"/>
      <c r="AA1" s="156" t="s">
        <v>5</v>
      </c>
      <c r="AB1" s="142"/>
      <c r="AC1" s="143"/>
      <c r="AD1" s="156" t="s">
        <v>6</v>
      </c>
      <c r="AE1" s="142"/>
      <c r="AF1" s="143"/>
      <c r="AG1" s="156" t="s">
        <v>7</v>
      </c>
      <c r="AH1" s="142"/>
      <c r="AI1" s="142"/>
      <c r="AJ1" s="142"/>
      <c r="AK1" s="142"/>
      <c r="AL1" s="143"/>
      <c r="AM1" s="5"/>
      <c r="AN1" s="6"/>
      <c r="AO1" s="6"/>
      <c r="AP1" s="6"/>
      <c r="AQ1" s="6"/>
      <c r="AR1" s="6"/>
      <c r="AS1" s="6"/>
      <c r="AT1" s="6"/>
      <c r="AU1" s="6"/>
      <c r="AV1" s="6"/>
    </row>
    <row r="2" spans="1:48" ht="12.75" customHeight="1">
      <c r="A2" s="7" t="s">
        <v>8</v>
      </c>
      <c r="B2" s="7" t="s">
        <v>9</v>
      </c>
      <c r="C2" s="7" t="s">
        <v>10</v>
      </c>
      <c r="D2" s="7" t="s">
        <v>11</v>
      </c>
      <c r="E2" s="159" t="s">
        <v>5</v>
      </c>
      <c r="F2" s="143"/>
      <c r="G2" s="160">
        <v>1</v>
      </c>
      <c r="H2" s="143"/>
      <c r="I2" s="159">
        <v>2</v>
      </c>
      <c r="J2" s="143"/>
      <c r="K2" s="160">
        <v>3</v>
      </c>
      <c r="L2" s="143"/>
      <c r="M2" s="159">
        <v>4</v>
      </c>
      <c r="N2" s="143"/>
      <c r="O2" s="160">
        <v>5</v>
      </c>
      <c r="P2" s="143"/>
      <c r="Q2" s="159" t="s">
        <v>12</v>
      </c>
      <c r="R2" s="143"/>
      <c r="S2" s="3"/>
      <c r="T2" s="4" t="s">
        <v>13</v>
      </c>
      <c r="U2" s="4" t="s">
        <v>14</v>
      </c>
      <c r="V2" s="4" t="s">
        <v>6</v>
      </c>
      <c r="W2" s="8" t="s">
        <v>12</v>
      </c>
      <c r="X2" s="9" t="s">
        <v>15</v>
      </c>
      <c r="Y2" s="9" t="s">
        <v>16</v>
      </c>
      <c r="Z2" s="4" t="s">
        <v>17</v>
      </c>
      <c r="AA2" s="9" t="s">
        <v>15</v>
      </c>
      <c r="AB2" s="4" t="s">
        <v>16</v>
      </c>
      <c r="AC2" s="21" t="s">
        <v>18</v>
      </c>
      <c r="AD2" s="9" t="s">
        <v>15</v>
      </c>
      <c r="AE2" s="4" t="s">
        <v>16</v>
      </c>
      <c r="AF2" s="21" t="s">
        <v>18</v>
      </c>
      <c r="AG2" s="114" t="s">
        <v>19</v>
      </c>
      <c r="AH2" s="114" t="s">
        <v>20</v>
      </c>
      <c r="AI2" s="114" t="s">
        <v>21</v>
      </c>
      <c r="AJ2" s="114" t="s">
        <v>22</v>
      </c>
      <c r="AK2" s="114" t="s">
        <v>23</v>
      </c>
      <c r="AL2" s="114" t="s">
        <v>24</v>
      </c>
      <c r="AM2" s="5"/>
      <c r="AN2" s="6"/>
      <c r="AO2" s="6"/>
      <c r="AP2" s="6"/>
      <c r="AQ2" s="6"/>
      <c r="AR2" s="6"/>
      <c r="AS2" s="6"/>
      <c r="AT2" s="6"/>
      <c r="AU2" s="6"/>
      <c r="AV2" s="6"/>
    </row>
    <row r="3" spans="1:48" ht="12.75" customHeight="1">
      <c r="A3" s="1" t="s">
        <v>161</v>
      </c>
      <c r="B3" s="1" t="s">
        <v>32</v>
      </c>
      <c r="C3" s="7" t="s">
        <v>36</v>
      </c>
      <c r="D3" s="77" t="s">
        <v>162</v>
      </c>
      <c r="E3" s="1">
        <v>0</v>
      </c>
      <c r="F3" s="1">
        <v>3</v>
      </c>
      <c r="G3" s="1">
        <v>23</v>
      </c>
      <c r="H3" s="1">
        <v>25</v>
      </c>
      <c r="I3" s="1">
        <v>20</v>
      </c>
      <c r="J3" s="1">
        <v>25</v>
      </c>
      <c r="K3" s="1">
        <v>11</v>
      </c>
      <c r="L3" s="1">
        <v>25</v>
      </c>
      <c r="M3" s="1">
        <v>0</v>
      </c>
      <c r="N3" s="1">
        <v>0</v>
      </c>
      <c r="O3" s="1">
        <v>0</v>
      </c>
      <c r="P3" s="1">
        <v>0</v>
      </c>
      <c r="Q3" s="1">
        <f>G3+I3+K3+M3+O3</f>
        <v>54</v>
      </c>
      <c r="R3" s="1">
        <f>H3+J3+L3+N3+P3</f>
        <v>75</v>
      </c>
      <c r="S3" s="5"/>
      <c r="T3" s="7">
        <v>1</v>
      </c>
      <c r="U3" s="7" t="s">
        <v>163</v>
      </c>
      <c r="V3" s="2">
        <f>AG3*3+AH3*3+AI3*2+AJ3*1</f>
        <v>23</v>
      </c>
      <c r="W3" s="1">
        <f>X3+Y3+Z3</f>
        <v>8</v>
      </c>
      <c r="X3" s="13">
        <f>COUNTIF($E$4,"=3")+COUNTIF($F$6,"=3")+COUNTIF($F$7,"=3")+COUNTIF($F$10,"=3")+COUNTIF($E$12,"=3")+COUNTIF($E$13,"=3")+COUNTIF($E$16,"=3")+COUNTIF($F$18,"=3")+COUNTIF($E$19,"=3")</f>
        <v>8</v>
      </c>
      <c r="Y3" s="13">
        <f>SUM(IF($E$4&lt;$F$4,1,0))+SUM(IF($F$6&lt;$E$6,1,0))+SUM(IF($F$7&lt;$E$7,1,0))+SUM(IF($F$10&lt;$E$10,1,0))+SUM(IF($E$12&lt;$F$12,1,0))+SUM(IF($E$13&lt;$F$13,1,0))+SUM(IF($E$16&lt;$F$16,1,0))+SUM(IF($F$18&lt;$E$18,1,0))+SUM(IF($E$19&lt;$F$19,1,0))</f>
        <v>0</v>
      </c>
      <c r="Z3" s="18"/>
      <c r="AA3" s="13">
        <f>$E$4+$F$6+$F$7+$F$10+$E$12+$E$13+$E$16+$F$18+$E$19</f>
        <v>24</v>
      </c>
      <c r="AB3" s="13">
        <f>$F$4+$E$6+$E$7+$E$10+$F$12+$F$13+$F$16+$E$18+$F$19</f>
        <v>7</v>
      </c>
      <c r="AC3" s="23">
        <f>IF(AB3=0,"MAX",AA3/AB3)</f>
        <v>3.4285714285714284</v>
      </c>
      <c r="AD3" s="13">
        <f>$Q$4+$R$6+$R$7+$R$10+$Q$12+$Q$13+$Q$16+$R$18+$Q$19</f>
        <v>740</v>
      </c>
      <c r="AE3" s="13">
        <f>$R$4+$Q$6+$Q$7+$Q$10+$R$12+$R$13+$R$16+$Q$18+$R$19</f>
        <v>646</v>
      </c>
      <c r="AF3" s="23">
        <f>IF(AE3=0,"MAX",AD3/AE3)</f>
        <v>1.1455108359133126</v>
      </c>
      <c r="AG3" s="13">
        <f>SUM(IF(AND($E$4=3,$F$4=0),1,0))+SUM(IF(AND($F$6=3,$E$6=0),1,0))+SUM(IF(AND($F$7=3,$E$7=0),1,0))+SUM(IF(AND($F$10=3,$E$10=0),1,0))+SUM(IF(AND($E$12=3,$F$12=0),1,0))+SUM(IF(AND($E$13=3,$F$13=0),1,0))+SUM(IF(AND($E$16=3,$F$16=0),1,0))+SUM(IF(AND($F$18=3,$E$18=0),1,0))+SUM(IF(AND($E$19=3,$F$19=0),1,0))</f>
        <v>2</v>
      </c>
      <c r="AH3" s="13">
        <f>SUM(IF(AND($E$4=3,$F$4=1),1,0))+SUM(IF(AND($F$6=3,$E$6=1),1,0))+SUM(IF(AND($F$7=3,$E$7=1),1,0))+SUM(IF(AND($F$10=3,$E$10=1),1,0))+SUM(IF(AND($E$12=3,$F$12=1),1,0))+SUM(IF(AND($E$13=3,$F$13=1),1,0))+SUM(IF(AND($E$16=3,$F$16=1),1,0))+SUM(IF(AND($F$18=3,$E$18=1),1,0))+SUM(IF(AND($E$19=3,$F$19=1),1,0))</f>
        <v>5</v>
      </c>
      <c r="AI3" s="13">
        <f>SUM(IF(AND($E$4=3,$F$4=2),1,0))+SUM(IF(AND($F$6=3,$E$6=2),1,0))+SUM(IF(AND($F$7=3,$E$7=2),1,0))+SUM(IF(AND($F$10=3,$E$10=2),1,0))+SUM(IF(AND($E$12=3,$F$12=2),1,0))+SUM(IF(AND($E$13=3,$F$13=2),1,0))+SUM(IF(AND($E$16=3,$F$16=2),1,0))+SUM(IF(AND($F$18=3,$E$18=2),1,0))+SUM(IF(AND($E$19=3,$F$19=2),1,0))</f>
        <v>1</v>
      </c>
      <c r="AJ3" s="13">
        <f>SUM(IF(AND($E$4=2,$F$4=3),1,0))+SUM(IF(AND($F$6=2,$E$6=3),1,0))+SUM(IF(AND($F$7=2,$E$7=3),1,0))+SUM(IF(AND($F$10=2,$E$10=3),1,0))+SUM(IF(AND($E$12=2,$F$12=3),1,0))+SUM(IF(AND($E$13=2,$F$13=3),1,0))+SUM(IF(AND($E$16=2,$F$16=3),1,0))+SUM(IF(AND($F$18=2,$E$18=3),1,0))+SUM(IF(AND($E$19=2,$F$19=3),1,0))</f>
        <v>0</v>
      </c>
      <c r="AK3" s="13">
        <f>SUM(IF(AND($E$4=1,$F$4=3),1,0))+SUM(IF(AND($F$6=1,$E$6=3),1,0))+SUM(IF(AND($F$7=1,$E$7=3),1,0))+SUM(IF(AND($F$10=1,$E$10=3),1,0))+SUM(IF(AND($E$12=1,$F$12=3),1,0))+SUM(IF(AND($E$13=1,$F$13=3),1,0))+SUM(IF(AND($E$16=1,$F$16=3),1,0))+SUM(IF(AND($F$18=1,$E$18=3),1,0))+SUM(IF(AND($E$19=1,$F$19=3),1,0))</f>
        <v>0</v>
      </c>
      <c r="AL3" s="13">
        <f>SUM(IF(AND($E$4=0,$F$4=3),1,0))+SUM(IF(AND($F$6=0,$E$6=3),1,0))+SUM(IF(AND($F$7=0,$E$7=3),1,0))+SUM(IF(AND($F$10=0,$E$10=3),1,0))+SUM(IF(AND($E$12=0,$F$12=3),1,0))+SUM(IF(AND($E$13=0,$F$13=3),1,0))+SUM(IF(AND($E$16=0,$F$16=3),1,0))+SUM(IF(AND($F$18=0,$E$18=3),1,0))+SUM(IF(AND($E$19=0,$F$19=3),1,0))</f>
        <v>0</v>
      </c>
      <c r="AM3" s="5"/>
      <c r="AN3" s="6"/>
      <c r="AO3" s="6"/>
      <c r="AP3" s="6"/>
      <c r="AQ3" s="6"/>
      <c r="AR3" s="6"/>
      <c r="AS3" s="6"/>
      <c r="AT3" s="6"/>
      <c r="AU3" s="6"/>
      <c r="AV3" s="6"/>
    </row>
    <row r="4" spans="1:48" ht="12.75" customHeight="1">
      <c r="A4" s="1" t="s">
        <v>168</v>
      </c>
      <c r="B4" s="1" t="s">
        <v>32</v>
      </c>
      <c r="C4" s="77" t="s">
        <v>163</v>
      </c>
      <c r="D4" s="7" t="s">
        <v>169</v>
      </c>
      <c r="E4" s="1">
        <v>3</v>
      </c>
      <c r="F4" s="1">
        <v>2</v>
      </c>
      <c r="G4" s="1">
        <v>23</v>
      </c>
      <c r="H4" s="1">
        <v>25</v>
      </c>
      <c r="I4" s="1">
        <v>23</v>
      </c>
      <c r="J4" s="1">
        <v>25</v>
      </c>
      <c r="K4" s="1">
        <v>25</v>
      </c>
      <c r="L4" s="1">
        <v>13</v>
      </c>
      <c r="M4" s="1">
        <v>25</v>
      </c>
      <c r="N4" s="1">
        <v>23</v>
      </c>
      <c r="O4" s="1">
        <v>20</v>
      </c>
      <c r="P4" s="1">
        <v>18</v>
      </c>
      <c r="Q4" s="1">
        <f>G4+I4+K4+M4+O4</f>
        <v>116</v>
      </c>
      <c r="R4" s="1">
        <f>H4+J4+L4+N4+P4</f>
        <v>104</v>
      </c>
      <c r="S4" s="5"/>
      <c r="T4" s="120">
        <v>2</v>
      </c>
      <c r="U4" s="7" t="s">
        <v>162</v>
      </c>
      <c r="V4" s="2">
        <f>AG4*3+AH4*3+AI4*2+AJ4*1</f>
        <v>15</v>
      </c>
      <c r="W4" s="1">
        <f>X4+Y4+Z4</f>
        <v>8</v>
      </c>
      <c r="X4" s="13">
        <f>COUNTIF($F$3,"=3")+COUNTIF($E$6,"=3")+COUNTIF($F$8,"=3")+COUNTIF($E$9,"=3")+COUNTIF($F$12,"=3")+COUNTIF($E$14,"=3")+COUNTIF($F$15,"=3")+COUNTIF($E$18,"=3")+COUNTIF($E$20,"=3")</f>
        <v>5</v>
      </c>
      <c r="Y4" s="13">
        <f>SUM(IF($F$3&lt;$E$3,1,0))+SUM(IF($E$6&lt;$F$6,1,0))+SUM(IF($F$8&lt;$E$8,1,0))+SUM(IF($E$9&lt;$F$9,1,0))+SUM(IF($F$12&lt;$E$12,1,0))+SUM(IF($E$14&lt;$F$14,1,0))+SUM(IF($F$15&lt;$E$15,1,0))+SUM(IF($E$18&lt;$F$18,1,0))+SUM(IF($F$20&lt;$E$20,1,0))</f>
        <v>3</v>
      </c>
      <c r="Z4" s="18"/>
      <c r="AA4" s="13">
        <f>$F$3+$E$6+$F$8+$E$9+$F$12+$E$14+$F$15+$E$18+$E$20</f>
        <v>18</v>
      </c>
      <c r="AB4" s="13">
        <f>$E$3+$F$6+$E$8+$F$9+$E$12+$F$14+$E$15+$F$18+$F$20</f>
        <v>11</v>
      </c>
      <c r="AC4" s="23">
        <f>IF(AB4=0,"MAX",AA4/AB4)</f>
        <v>1.6363636363636365</v>
      </c>
      <c r="AD4" s="13">
        <f>$R$3+$Q$6+$R$8+$Q$9+$R$12+$Q$14+$R$15+$Q$18+$Q$20</f>
        <v>682</v>
      </c>
      <c r="AE4" s="13">
        <f>$Q$3+$R$6+$Q$8+$R$9+$Q$12+$R$14+$Q$15+$R$18+$R$20</f>
        <v>615</v>
      </c>
      <c r="AF4" s="23">
        <f>IF(AE4=0,"MAX",AD4/AE4)</f>
        <v>1.1089430894308943</v>
      </c>
      <c r="AG4" s="13">
        <f>SUM(IF(AND($F$3=3,$E$3=0),1,0))+SUM(IF(AND($E$6=3,$F$6=0),1,0))+SUM(IF(AND($F$8=3,$E$8=0),1,0))+SUM(IF(AND($E$9=3,$F$9=0),1,0))+SUM(IF(AND($F$12=3,$E$12=0),1,0))+SUM(IF(AND($E$14=3,$F$14=0),1,0))+SUM(IF(AND($F$15=3,$E$15=0),1,0))+SUM(IF(AND($E$18=3,$F$18=0),1,0))+SUM(IF(AND($F$20=3,$E$20=0),1,0))</f>
        <v>3</v>
      </c>
      <c r="AH4" s="13">
        <f>SUM(IF(AND($F$3=3,$E$3=1),1,0))+SUM(IF(AND($E$6=3,$F$6=1),1,0))+SUM(IF(AND($F$8=3,$E$8=1),1,0))+SUM(IF(AND($E$9=3,$F$9=1),1,0))+SUM(IF(AND($F$12=3,$E$12=1),1,0))+SUM(IF(AND($E$14=3,$F$14=1),1,0))+SUM(IF(AND($F$15=3,$E$15=1),1,0))+SUM(IF(AND($E$18=3,$F$18=1),1,0))+SUM(IF(AND($F$20=3,$E$20=1),1,0))</f>
        <v>2</v>
      </c>
      <c r="AI4" s="13">
        <f>SUM(IF(AND($F$3=3,$E$3=2),1,0))+SUM(IF(AND($E$6=3,$F$6=2),1,0))+SUM(IF(AND($F$8=3,$E$8=2),1,0))+SUM(IF(AND($E$9=3,$F$9=2),1,0))+SUM(IF(AND($F$12=3,$E$12=2),1,0))+SUM(IF(AND($E$14=3,$F$14=2),1,0))+SUM(IF(AND($F$15=3,$E$15=2),1,0))+SUM(IF(AND($E$18=3,$F$18=2),1,0))+SUM(IF(AND($F$20=3,$E$20=2),1,0))</f>
        <v>0</v>
      </c>
      <c r="AJ4" s="13">
        <f>SUM(IF(AND($F$3=2,$E$3=3),1,0))+SUM(IF(AND($E$6=2,$F$6=3),1,0))+SUM(IF(AND($F$8=2,$E$8=3),1,0))+SUM(IF(AND($E$9=2,$F$9=3),1,0))+SUM(IF(AND($F$12=2,$E$12=3),1,0))+SUM(IF(AND($E$14=2,$F$14=3),1,0))+SUM(IF(AND($F$15=2,$E$15=3),1,0))+SUM(IF(AND($E$18=2,$F$18=3),1,0))+SUM(IF(AND($F$20=2,$E$20=3),1,0))</f>
        <v>0</v>
      </c>
      <c r="AK4" s="13">
        <f>SUM(IF(AND($F$3=1,$E$3=3),1,0))+SUM(IF(AND($E$6=1,$F$6=3),1,0))+SUM(IF(AND($F$8=1,$E$8=3),1,0))+SUM(IF(AND($E$9=1,$F$9=3),1,0))+SUM(IF(AND($F$12=1,$E$12=3),1,0))+SUM(IF(AND($E$14=1,$F$14=3),1,0))+SUM(IF(AND($F$15=1,$E$15=3),1,0))+SUM(IF(AND($E$18=1,$F$18=3),1,0))+SUM(IF(AND($F$20=1,$E$20=3),1,0))</f>
        <v>3</v>
      </c>
      <c r="AL4" s="13">
        <f>SUM(IF(AND($F$3=0,$E$3=3),1,0))+SUM(IF(AND($E$6=0,$F$6=3),1,0))+SUM(IF(AND($F$8=1,$E$8=3),1,0))+SUM(IF(AND($E$9=0,$F$9=3),1,0))+SUM(IF(AND($F$12=0,$E$12=3),1,0))+SUM(IF(AND($E$14=0,$F$14=3),1,0))+SUM(IF(AND($F$15=0,$E$15=3),1,0))+SUM(IF(AND($E$18=0,$F$18=3),1,0))+SUM(IF(AND($F$20=0,$E$20=3),1,0))</f>
        <v>0</v>
      </c>
      <c r="AM4" s="5"/>
      <c r="AN4" s="6"/>
      <c r="AO4" s="6"/>
      <c r="AP4" s="6"/>
      <c r="AQ4" s="6"/>
      <c r="AR4" s="6"/>
      <c r="AS4" s="6"/>
      <c r="AT4" s="6"/>
      <c r="AU4" s="6"/>
      <c r="AV4" s="6"/>
    </row>
    <row r="5" spans="1:48" ht="12.75" customHeight="1">
      <c r="A5" s="1" t="s">
        <v>188</v>
      </c>
      <c r="B5" s="1" t="s">
        <v>32</v>
      </c>
      <c r="C5" s="7" t="s">
        <v>169</v>
      </c>
      <c r="D5" s="77" t="s">
        <v>36</v>
      </c>
      <c r="E5" s="1">
        <v>3</v>
      </c>
      <c r="F5" s="1">
        <v>2</v>
      </c>
      <c r="G5" s="1">
        <v>25</v>
      </c>
      <c r="H5" s="1">
        <v>17</v>
      </c>
      <c r="I5" s="1">
        <v>23</v>
      </c>
      <c r="J5" s="1">
        <v>25</v>
      </c>
      <c r="K5" s="1">
        <v>25</v>
      </c>
      <c r="L5" s="1">
        <v>21</v>
      </c>
      <c r="M5" s="1">
        <v>22</v>
      </c>
      <c r="N5" s="1">
        <v>25</v>
      </c>
      <c r="O5" s="1">
        <v>16</v>
      </c>
      <c r="P5" s="1">
        <v>14</v>
      </c>
      <c r="Q5" s="1">
        <f>G5+I5+K5+M5+O5</f>
        <v>111</v>
      </c>
      <c r="R5" s="1">
        <f>H5+J5+L5+N5+P5</f>
        <v>102</v>
      </c>
      <c r="S5" s="5"/>
      <c r="T5" s="120">
        <v>3</v>
      </c>
      <c r="U5" s="7" t="s">
        <v>169</v>
      </c>
      <c r="V5" s="2">
        <f>AG5*3+AH5*3+AI5*2+AJ5*1</f>
        <v>6</v>
      </c>
      <c r="W5" s="1">
        <f>X5+Y5+Z5</f>
        <v>8</v>
      </c>
      <c r="X5" s="13">
        <f>COUNTIF($F$4,"=3")+COUNTIF($E$5,"=3")+COUNTIF($E$8,"=3")+COUNTIF($E$10,"=3")+COUNTIF($F$11,"=3")+COUNTIF($F$14,"=3")+COUNTIF($F$16,"=3")+COUNTIF($E$17,"=3")+COUNTIF($F$20,"=3")</f>
        <v>2</v>
      </c>
      <c r="Y5" s="13">
        <f>SUM(IF($F$4&lt;$E$4,1,0))+SUM(IF($E$5&lt;$F$5,1,0))+SUM(IF($E$8&lt;$F$8,1,0))+SUM(IF($E$10&lt;$F$10,1,0))+SUM(IF($F$11&lt;$E$11,1,0))+SUM(IF($F$14&lt;$E$14,1,0))+SUM(IF($F$16&lt;$E$16,1,0))+SUM(IF($E$17&lt;$F$17,1,0))+SUM(IF($F$20&lt;$E$20,1,0))</f>
        <v>6</v>
      </c>
      <c r="Z5" s="18"/>
      <c r="AA5" s="13">
        <f>$F$4+$E$5+$E$8+$E$10+$F$11+$F$14+$F$16+$E$17+$F$20</f>
        <v>11</v>
      </c>
      <c r="AB5" s="13">
        <f>$E$4+$F$5+$F$8+$F$10+$E$11+$E$14+$E$16+$F$17+$E$20</f>
        <v>20</v>
      </c>
      <c r="AC5" s="23">
        <f>IF(AB5=0,"MAX",AA5/AB5)</f>
        <v>0.55</v>
      </c>
      <c r="AD5" s="13">
        <f>$R$4+$Q$5+$Q$8+$Q$10+$R$11+$R$14+$R$16+$Q$17+$R$20</f>
        <v>633</v>
      </c>
      <c r="AE5" s="13">
        <f>$Q$4+$R$5+$R$8+$R$10+$Q$11+$Q$14+$Q$16+$R$17+$Q$20</f>
        <v>706</v>
      </c>
      <c r="AF5" s="23">
        <f>IF(AE5=0,"MAX",AD5/AE5)</f>
        <v>0.896600566572238</v>
      </c>
      <c r="AG5" s="13">
        <f>SUM(IF(AND($F$4=3,$E$4=0),1,0))+SUM(IF(AND($E$5=3,$F$5=0),1,0))+SUM(IF(AND($E$8=3,$F$8=0),1,0))+SUM(IF(AND($E$10=3,$F$10=0),1,0))+SUM(IF(AND($F$11=3,$E$11=0),1,0))+SUM(IF(AND($F$14=3,$E$14=0),1,0))+SUM(IF(AND($F$16=3,$E$16=0),1,0))+SUM(IF(AND($E$17=3,$F$17=0),1,0))+SUM(IF(AND($F$20=3,$E$20=0),1,0))</f>
        <v>1</v>
      </c>
      <c r="AH5" s="13">
        <f>SUM(IF(AND($F$4=3,$E$4=1),1,0))+SUM(IF(AND($E$5=3,$F$5=1),1,0))+SUM(IF(AND($E$8=3,$F$8=1),1,0))+SUM(IF(AND($E$10=3,$F$10=1),1,0))+SUM(IF(AND($F$11=3,$E$11=1),1,0))+SUM(IF(AND($F$14=3,$E$14=1),1,0))+SUM(IF(AND($F$16=3,$E$16=1),1,0))+SUM(IF(AND($E$17=3,$F$17=1),1,0))+SUM(IF(AND($F$20=3,$E$20=1),1,0))</f>
        <v>0</v>
      </c>
      <c r="AI5" s="13">
        <f>SUM(IF(AND($F$4=3,$E$4=2),1,0))+SUM(IF(AND($E$5=3,$F$5=2),1,0))+SUM(IF(AND($E$8=3,$F$8=2),1,0))+SUM(IF(AND($E$10=3,$F$10=2),1,0))+SUM(IF(AND($F$11=3,$E$11=2),1,0))+SUM(IF(AND($F$14=3,$E$14=2),1,0))+SUM(IF(AND($F$16=3,$E$16=2),1,0))+SUM(IF(AND($E$17=3,$F$17=2),1,0))+SUM(IF(AND($F$20=3,$E$20=2),1,0))</f>
        <v>1</v>
      </c>
      <c r="AJ5" s="13">
        <f>SUM(IF(AND($F$4=2,$E$4=3),1,0))+SUM(IF(AND($E$5=2,$F$5=3),1,0))+SUM(IF(AND($E$8=2,$F$8=3),1,0))+SUM(IF(AND($E$10=2,$F$10=3),1,0))+SUM(IF(AND($F$11=2,$E$11=3),1,0))+SUM(IF(AND($F$14=2,$E$14=3),1,0))+SUM(IF(AND($F$16=2,$E$16=3),1,0))+SUM(IF(AND($E$17=2,$F$17=3),1,0))+SUM(IF(AND($F$20=2,$E$20=3),1,0))</f>
        <v>1</v>
      </c>
      <c r="AK5" s="13">
        <f>SUM(IF(AND($F$4=1,$E$4=3),1,0))+SUM(IF(AND($E$5=1,$F$5=3),1,0))+SUM(IF(AND($E$8=1,$F$8=3),1,0))+SUM(IF(AND($E$10=1,$F$10=3),1,0))+SUM(IF(AND($F$11=1,$E$11=3),1,0))+SUM(IF(AND($F$14=1,$E$14=3),1,0))+SUM(IF(AND($F$16=1,$E$16=3),1,0))+SUM(IF(AND($E$17=1,$F$17=3),1,0))+SUM(IF(AND($F$20=1,$E$20=3),1,0))</f>
        <v>3</v>
      </c>
      <c r="AL5" s="13">
        <f>SUM(IF(AND($F$4=0,$E$4=3),1,0))+SUM(IF(AND($E$5=0,$F$5=3),1,0))+SUM(IF(AND($E$8=0,$F$8=3),1,0))+SUM(IF(AND($E$10=0,$F$10=3),1,0))+SUM(IF(AND($F$11=0,$E$11=3),1,0))+SUM(IF(AND($F$14=0,$E$14=3),1,0))+SUM(IF(AND($F$16=0,$E$16=3),1,0))+SUM(IF(AND($E$17=0,$F$17=3),1,0))+SUM(IF(AND($F$20=0,$E$20=3),1,0))</f>
        <v>2</v>
      </c>
      <c r="AM5" s="5"/>
      <c r="AN5" s="6"/>
      <c r="AO5" s="6"/>
      <c r="AP5" s="6"/>
      <c r="AQ5" s="6"/>
      <c r="AR5" s="6"/>
      <c r="AS5" s="6"/>
      <c r="AT5" s="6"/>
      <c r="AU5" s="6"/>
      <c r="AV5" s="6"/>
    </row>
    <row r="6" spans="1:48" ht="12.75" customHeight="1">
      <c r="A6" s="1" t="s">
        <v>202</v>
      </c>
      <c r="B6" s="1" t="s">
        <v>32</v>
      </c>
      <c r="C6" s="77" t="s">
        <v>162</v>
      </c>
      <c r="D6" s="77" t="s">
        <v>163</v>
      </c>
      <c r="E6" s="1">
        <v>1</v>
      </c>
      <c r="F6" s="1">
        <v>3</v>
      </c>
      <c r="G6" s="1">
        <v>23</v>
      </c>
      <c r="H6" s="1">
        <v>25</v>
      </c>
      <c r="I6" s="1">
        <v>23</v>
      </c>
      <c r="J6" s="1">
        <v>25</v>
      </c>
      <c r="K6" s="1">
        <v>25</v>
      </c>
      <c r="L6" s="1">
        <v>16</v>
      </c>
      <c r="M6" s="1">
        <v>18</v>
      </c>
      <c r="N6" s="1">
        <v>25</v>
      </c>
      <c r="O6" s="1">
        <v>0</v>
      </c>
      <c r="P6" s="1">
        <v>0</v>
      </c>
      <c r="Q6" s="1">
        <f>G6+I6+K6+M6+O6</f>
        <v>89</v>
      </c>
      <c r="R6" s="1">
        <f>H6+J6+L6+N6+P6</f>
        <v>91</v>
      </c>
      <c r="S6" s="5"/>
      <c r="T6" s="7">
        <v>4</v>
      </c>
      <c r="U6" s="11" t="s">
        <v>36</v>
      </c>
      <c r="V6" s="2">
        <f>AG6*3+AH6*3+AI6*2+AJ6*1</f>
        <v>4</v>
      </c>
      <c r="W6" s="1">
        <f>X6+Y6+Z6</f>
        <v>8</v>
      </c>
      <c r="X6" s="13">
        <f>COUNTIF($E$3,"=3")+COUNTIF($F$5,"=3")+COUNTIF($E$7,"=3")+COUNTIF($F$9,"=3")+COUNTIF($E$11,"=3")+COUNTIF($F$13,"=3")+COUNTIF($E$15,"=3")+COUNTIF($F$17,"=3")+COUNTIF($F$19,"=3")</f>
        <v>1</v>
      </c>
      <c r="Y6" s="13">
        <f>SUM(IF($E$3&lt;$F$3,1,0))+SUM(IF($F$5&lt;$E$5,1,0))+SUM(IF($E$7&lt;$F$7,1,0))+SUM(IF($F$9&lt;$E$9,1,0))+SUM(IF($E$11&lt;$F$11,1,0))+SUM(IF($F$13&lt;$E$13,1,0))+SUM(IF($E$15&lt;$F$15,1,0))+SUM(IF($F$17&lt;$E$17,1,0))+SUM(IF($F$19&lt;$E$19,1,0))</f>
        <v>7</v>
      </c>
      <c r="Z6" s="18"/>
      <c r="AA6" s="13">
        <f>$E$3+$F$5+$E$7+$F$9+$E$11+$F$13+$E$15+$F$17+$F$19</f>
        <v>7</v>
      </c>
      <c r="AB6" s="13">
        <f>$F$3+$E$5+$F$7+$E$9+$F$11+$E$13+$F$15+$E$17+$E$19</f>
        <v>22</v>
      </c>
      <c r="AC6" s="23">
        <f>IF(AB6=0,"MAX",AA6/AB6)</f>
        <v>0.3181818181818182</v>
      </c>
      <c r="AD6" s="13">
        <f>$Q$3+$R$5+$Q$7+$R$9+$Q$11+$R$13+$Q$15+$R$17+$R$19</f>
        <v>575</v>
      </c>
      <c r="AE6" s="13">
        <f>$R$3+$Q$5+$R$7+$Q$9+$R$11+$Q$13+$R$15+$Q$17+$Q$19</f>
        <v>663</v>
      </c>
      <c r="AF6" s="23">
        <f>IF(AE6=0,"MAX",AD6/AE6)</f>
        <v>0.8672699849170438</v>
      </c>
      <c r="AG6" s="13">
        <f>SUM(IF(AND($E$3=3,$F$3=0),1,0))+SUM(IF(AND($F$5=3,$E$5=0),1,0))+SUM(IF(AND($E$7=3,$F$7=0),1,0))+SUM(IF(AND($F$9=3,$E$9=0),1,0))+SUM(IF(AND($E$11=3,$F$11=0),1,0))+SUM(IF(AND($F$13=3,$E$13=0),1,0))+SUM(IF(AND($E$15=3,$F$15=0),1,0))+SUM(IF(AND($F$17=3,$E$17=0),1,0))+SUM(IF(AND($F$19=3,$E$19=0),1,0))</f>
        <v>0</v>
      </c>
      <c r="AH6" s="13">
        <f>SUM(IF(AND($E$3=3,$F$3=1),1,0))+SUM(IF(AND($F$5=3,$E$5=1),1,0))+SUM(IF(AND($E$7=3,$F$7=1),1,0))+SUM(IF(AND($F$9=3,$E$9=1),1,0))+SUM(IF(AND($E$11=3,$F$11=1),1,0))+SUM(IF(AND($F$13=3,$E$13=1),1,0))+SUM(IF(AND($E$15=3,$F$15=1),1,0))+SUM(IF(AND($F$17=3,$E$17=1),1,0))+SUM(IF(AND($F$19=3,$E$19=1),1,0))</f>
        <v>1</v>
      </c>
      <c r="AI6" s="13">
        <f>SUM(IF(AND($E$3=3,$F$3=2),1,0))+SUM(IF(AND($F$5=3,$E$5=2),1,0))+SUM(IF(AND($E$7=3,$F$7=2),1,0))+SUM(IF(AND($F$9=3,$E$9=2),1,0))+SUM(IF(AND($E$11=3,$F$11=2),1,0))+SUM(IF(AND($F$13=3,$E$13=2),1,0))+SUM(IF(AND($E$15=3,$F$15=2),1,0))+SUM(IF(AND($F$17=3,$E$17=2),1,0))+SUM(IF(AND($F$19=3,$E$19=2),1,0))</f>
        <v>0</v>
      </c>
      <c r="AJ6" s="13">
        <f>SUM(IF(AND($E$3=2,$F$3=3),1,0))+SUM(IF(AND($F$5=2,$E$5=3),1,0))+SUM(IF(AND($E$7=2,$F$7=3),1,0))+SUM(IF(AND($F$9=2,$E$9=3),1,0))+SUM(IF(AND($E$11=2,$F$11=3),1,0))+SUM(IF(AND($F$13=2,$E$13=3),1,0))+SUM(IF(AND($E$15=2,$F$15=3),1,0))+SUM(IF(AND($F$17=2,$E$17=3),1,0))+SUM(IF(AND($F$19=2,$E$19=3),1,0))</f>
        <v>1</v>
      </c>
      <c r="AK6" s="13">
        <f>SUM(IF(AND($E$3=1,$F$3=3),1,0))+SUM(IF(AND($F$5=1,$E$5=3),1,0))+SUM(IF(AND($E$7=1,$F$7=3),1,0))+SUM(IF(AND($F$9=1,$E$9=3),1,0))+SUM(IF(AND($E$11=1,$F$11=3),1,0))+SUM(IF(AND($F$13=1,$E$13=3),1,0))+SUM(IF(AND($E$15=1,$F$15=3),1,0))+SUM(IF(AND($F$17=1,$E$17=3),1,0))+SUM(IF(AND($F$19=1,$E$19=3),1,0))</f>
        <v>2</v>
      </c>
      <c r="AL6" s="13">
        <f>SUM(IF(AND($E$3=0,$F$3=3),1,0))+SUM(IF(AND($F$5=0,$E$5=3),1,0))+SUM(IF(AND($E$7=0,$F$7=3),1,0))+SUM(IF(AND($F$9=0,$E$9=3),1,0))+SUM(IF(AND($E$11=0,$F$11=3),1,0))+SUM(IF(AND($F$13=0,$E$13=3),1,0))+SUM(IF(AND($E$15=0,$F$15=3),1,0))+SUM(IF(AND($F$17=0,$E$17=3),1,0))+SUM(IF(AND($F$19=0,$E$19=3),1,0))</f>
        <v>4</v>
      </c>
      <c r="AM6" s="5"/>
      <c r="AN6" s="6"/>
      <c r="AO6" s="6"/>
      <c r="AP6" s="6"/>
      <c r="AQ6" s="6"/>
      <c r="AR6" s="6"/>
      <c r="AS6" s="6"/>
      <c r="AT6" s="6"/>
      <c r="AU6" s="6"/>
      <c r="AV6" s="6"/>
    </row>
    <row r="7" spans="1:48" ht="12.75" customHeight="1">
      <c r="A7" s="1" t="s">
        <v>203</v>
      </c>
      <c r="B7" s="1" t="s">
        <v>32</v>
      </c>
      <c r="C7" s="77" t="s">
        <v>36</v>
      </c>
      <c r="D7" s="7" t="s">
        <v>163</v>
      </c>
      <c r="E7" s="1">
        <v>1</v>
      </c>
      <c r="F7" s="1">
        <v>3</v>
      </c>
      <c r="G7" s="1">
        <v>22</v>
      </c>
      <c r="H7" s="1">
        <v>25</v>
      </c>
      <c r="I7" s="1">
        <v>26</v>
      </c>
      <c r="J7" s="1">
        <v>24</v>
      </c>
      <c r="K7" s="1">
        <v>6</v>
      </c>
      <c r="L7" s="1">
        <v>25</v>
      </c>
      <c r="M7" s="1">
        <v>17</v>
      </c>
      <c r="N7" s="1">
        <v>25</v>
      </c>
      <c r="O7" s="1">
        <v>0</v>
      </c>
      <c r="P7" s="1">
        <v>0</v>
      </c>
      <c r="Q7" s="1">
        <f>G7+I7+K7+M7+O7</f>
        <v>71</v>
      </c>
      <c r="R7" s="1">
        <f>H7+J7+L7+N7+P7</f>
        <v>99</v>
      </c>
      <c r="S7" s="5"/>
      <c r="T7" s="3"/>
      <c r="U7" s="3"/>
      <c r="V7" s="3"/>
      <c r="W7" s="3"/>
      <c r="X7" s="3"/>
      <c r="Y7" s="3"/>
      <c r="Z7" s="3"/>
      <c r="AA7" s="3"/>
      <c r="AB7" s="3"/>
      <c r="AC7" s="35"/>
      <c r="AD7" s="3"/>
      <c r="AE7" s="3"/>
      <c r="AF7" s="35"/>
      <c r="AG7" s="3"/>
      <c r="AH7" s="3"/>
      <c r="AI7" s="3"/>
      <c r="AJ7" s="3"/>
      <c r="AK7" s="3"/>
      <c r="AL7" s="3"/>
      <c r="AM7" s="5"/>
      <c r="AN7" s="6"/>
      <c r="AO7" s="6"/>
      <c r="AP7" s="6"/>
      <c r="AQ7" s="6"/>
      <c r="AR7" s="6"/>
      <c r="AS7" s="6"/>
      <c r="AT7" s="6"/>
      <c r="AU7" s="6"/>
      <c r="AV7" s="6"/>
    </row>
    <row r="8" spans="1:48" ht="12.75" customHeight="1">
      <c r="A8" s="1" t="s">
        <v>204</v>
      </c>
      <c r="B8" s="1" t="s">
        <v>32</v>
      </c>
      <c r="C8" s="77" t="s">
        <v>169</v>
      </c>
      <c r="D8" s="7" t="s">
        <v>162</v>
      </c>
      <c r="E8" s="1">
        <v>1</v>
      </c>
      <c r="F8" s="1">
        <v>3</v>
      </c>
      <c r="G8" s="1">
        <v>21</v>
      </c>
      <c r="H8" s="1">
        <v>25</v>
      </c>
      <c r="I8" s="1">
        <v>20</v>
      </c>
      <c r="J8" s="1">
        <v>25</v>
      </c>
      <c r="K8" s="1">
        <v>25</v>
      </c>
      <c r="L8" s="1">
        <v>21</v>
      </c>
      <c r="M8" s="1">
        <v>15</v>
      </c>
      <c r="N8" s="1">
        <v>25</v>
      </c>
      <c r="O8" s="1">
        <v>0</v>
      </c>
      <c r="P8" s="1">
        <v>0</v>
      </c>
      <c r="Q8" s="1">
        <f>G8+I8+K8+M8+O8</f>
        <v>81</v>
      </c>
      <c r="R8" s="1">
        <f>H8+J8+L8+N8+P8</f>
        <v>96</v>
      </c>
      <c r="S8" s="5"/>
      <c r="T8" s="3"/>
      <c r="U8" s="4" t="s">
        <v>29</v>
      </c>
      <c r="V8" s="3"/>
      <c r="W8" s="3"/>
      <c r="X8" s="3"/>
      <c r="Y8" s="3"/>
      <c r="Z8" s="3"/>
      <c r="AA8" s="3"/>
      <c r="AB8" s="3"/>
      <c r="AC8" s="35"/>
      <c r="AD8" s="3"/>
      <c r="AE8" s="3"/>
      <c r="AF8" s="35"/>
      <c r="AG8" s="3"/>
      <c r="AH8" s="3"/>
      <c r="AI8" s="3"/>
      <c r="AJ8" s="3"/>
      <c r="AK8" s="3"/>
      <c r="AL8" s="3"/>
      <c r="AM8" s="5"/>
      <c r="AN8" s="6"/>
      <c r="AO8" s="6"/>
      <c r="AP8" s="6"/>
      <c r="AQ8" s="6"/>
      <c r="AR8" s="6"/>
      <c r="AS8" s="6"/>
      <c r="AT8" s="6"/>
      <c r="AU8" s="6"/>
      <c r="AV8" s="6"/>
    </row>
    <row r="9" spans="1:48" ht="12.75" customHeight="1">
      <c r="A9" s="1" t="s">
        <v>205</v>
      </c>
      <c r="B9" s="1" t="s">
        <v>131</v>
      </c>
      <c r="C9" s="7" t="s">
        <v>162</v>
      </c>
      <c r="D9" s="77" t="s">
        <v>36</v>
      </c>
      <c r="E9" s="1">
        <v>3</v>
      </c>
      <c r="F9" s="1">
        <v>0</v>
      </c>
      <c r="G9" s="1">
        <v>25</v>
      </c>
      <c r="H9" s="1">
        <v>19</v>
      </c>
      <c r="I9" s="1">
        <v>25</v>
      </c>
      <c r="J9" s="1">
        <v>21</v>
      </c>
      <c r="K9" s="1">
        <v>25</v>
      </c>
      <c r="L9" s="1">
        <v>22</v>
      </c>
      <c r="M9" s="1">
        <v>0</v>
      </c>
      <c r="N9" s="1">
        <v>0</v>
      </c>
      <c r="O9" s="1">
        <v>0</v>
      </c>
      <c r="P9" s="1">
        <v>0</v>
      </c>
      <c r="Q9" s="1">
        <f>G9+I9+K9+M9+O9</f>
        <v>75</v>
      </c>
      <c r="R9" s="1">
        <f>H9+J9+L9+N9+P9</f>
        <v>62</v>
      </c>
      <c r="S9" s="5"/>
      <c r="T9" s="3"/>
      <c r="U9" s="7"/>
      <c r="V9" s="3"/>
      <c r="W9" s="3"/>
      <c r="X9" s="3"/>
      <c r="Y9" s="3"/>
      <c r="Z9" s="3"/>
      <c r="AA9" s="3"/>
      <c r="AB9" s="3"/>
      <c r="AC9" s="35"/>
      <c r="AD9" s="3"/>
      <c r="AE9" s="3"/>
      <c r="AF9" s="35"/>
      <c r="AG9" s="3"/>
      <c r="AH9" s="3"/>
      <c r="AI9" s="3"/>
      <c r="AJ9" s="3"/>
      <c r="AK9" s="3"/>
      <c r="AL9" s="3"/>
      <c r="AM9" s="5"/>
      <c r="AN9" s="6"/>
      <c r="AO9" s="6"/>
      <c r="AP9" s="6"/>
      <c r="AQ9" s="6"/>
      <c r="AR9" s="6"/>
      <c r="AS9" s="6"/>
      <c r="AT9" s="6"/>
      <c r="AU9" s="6"/>
      <c r="AV9" s="6"/>
    </row>
    <row r="10" spans="1:48" ht="12.75" customHeight="1">
      <c r="A10" s="1" t="s">
        <v>206</v>
      </c>
      <c r="B10" s="1" t="s">
        <v>131</v>
      </c>
      <c r="C10" s="77" t="s">
        <v>169</v>
      </c>
      <c r="D10" s="77" t="s">
        <v>163</v>
      </c>
      <c r="E10" s="1">
        <v>1</v>
      </c>
      <c r="F10" s="1">
        <v>3</v>
      </c>
      <c r="G10" s="1">
        <v>26</v>
      </c>
      <c r="H10" s="1">
        <v>28</v>
      </c>
      <c r="I10" s="1">
        <v>25</v>
      </c>
      <c r="J10" s="1">
        <v>22</v>
      </c>
      <c r="K10" s="1">
        <v>21</v>
      </c>
      <c r="L10" s="1">
        <v>25</v>
      </c>
      <c r="M10" s="1">
        <v>19</v>
      </c>
      <c r="N10" s="1">
        <v>25</v>
      </c>
      <c r="O10" s="1">
        <v>0</v>
      </c>
      <c r="P10" s="1">
        <v>0</v>
      </c>
      <c r="Q10" s="1">
        <f>G10+I10+K10+M10+O10</f>
        <v>91</v>
      </c>
      <c r="R10" s="1">
        <f>H10+J10+L10+N10+P10</f>
        <v>100</v>
      </c>
      <c r="S10" s="5"/>
      <c r="T10" s="3"/>
      <c r="U10" s="3"/>
      <c r="V10" s="3"/>
      <c r="W10" s="3"/>
      <c r="X10" s="3"/>
      <c r="Y10" s="3"/>
      <c r="Z10" s="3"/>
      <c r="AA10" s="3"/>
      <c r="AB10" s="3"/>
      <c r="AC10" s="35"/>
      <c r="AD10" s="3"/>
      <c r="AE10" s="3"/>
      <c r="AF10" s="35"/>
      <c r="AG10" s="3"/>
      <c r="AH10" s="3"/>
      <c r="AI10" s="3"/>
      <c r="AJ10" s="3"/>
      <c r="AK10" s="3"/>
      <c r="AL10" s="3"/>
      <c r="AM10" s="5"/>
      <c r="AN10" s="6"/>
      <c r="AO10" s="6"/>
      <c r="AP10" s="6"/>
      <c r="AQ10" s="6"/>
      <c r="AR10" s="6"/>
      <c r="AS10" s="6"/>
      <c r="AT10" s="6"/>
      <c r="AU10" s="6"/>
      <c r="AV10" s="6"/>
    </row>
    <row r="11" spans="1:48" ht="12.75" customHeight="1">
      <c r="A11" s="1" t="s">
        <v>207</v>
      </c>
      <c r="B11" s="1" t="s">
        <v>131</v>
      </c>
      <c r="C11" s="7" t="s">
        <v>36</v>
      </c>
      <c r="D11" s="77" t="s">
        <v>169</v>
      </c>
      <c r="E11" s="1">
        <v>0</v>
      </c>
      <c r="F11" s="1">
        <v>3</v>
      </c>
      <c r="G11" s="1">
        <v>13</v>
      </c>
      <c r="H11" s="1">
        <v>25</v>
      </c>
      <c r="I11" s="1">
        <v>13</v>
      </c>
      <c r="J11" s="1">
        <v>25</v>
      </c>
      <c r="K11" s="1">
        <v>23</v>
      </c>
      <c r="L11" s="1">
        <v>25</v>
      </c>
      <c r="M11" s="1">
        <v>0</v>
      </c>
      <c r="N11" s="1">
        <v>0</v>
      </c>
      <c r="O11" s="1">
        <v>0</v>
      </c>
      <c r="P11" s="1">
        <v>0</v>
      </c>
      <c r="Q11" s="1">
        <f>G11+I11+K11+M11+O11</f>
        <v>49</v>
      </c>
      <c r="R11" s="1">
        <f>H11+J11+L11+N11+P11</f>
        <v>75</v>
      </c>
      <c r="S11" s="5"/>
      <c r="T11" s="3"/>
      <c r="U11" s="3"/>
      <c r="V11" s="3"/>
      <c r="W11" s="3"/>
      <c r="X11" s="3"/>
      <c r="Y11" s="3"/>
      <c r="Z11" s="3"/>
      <c r="AA11" s="3"/>
      <c r="AB11" s="3"/>
      <c r="AC11" s="35"/>
      <c r="AD11" s="3"/>
      <c r="AE11" s="3"/>
      <c r="AF11" s="35"/>
      <c r="AG11" s="3"/>
      <c r="AH11" s="3"/>
      <c r="AI11" s="3"/>
      <c r="AJ11" s="3"/>
      <c r="AK11" s="3"/>
      <c r="AL11" s="3"/>
      <c r="AM11" s="5"/>
      <c r="AN11" s="6"/>
      <c r="AO11" s="6"/>
      <c r="AP11" s="6"/>
      <c r="AQ11" s="6"/>
      <c r="AR11" s="6"/>
      <c r="AS11" s="6"/>
      <c r="AT11" s="6"/>
      <c r="AU11" s="6"/>
      <c r="AV11" s="6"/>
    </row>
    <row r="12" spans="1:48" ht="12.75" customHeight="1">
      <c r="A12" s="1" t="s">
        <v>208</v>
      </c>
      <c r="B12" s="1" t="s">
        <v>131</v>
      </c>
      <c r="C12" s="77" t="s">
        <v>163</v>
      </c>
      <c r="D12" s="77" t="s">
        <v>162</v>
      </c>
      <c r="E12" s="1">
        <v>3</v>
      </c>
      <c r="F12" s="1">
        <v>1</v>
      </c>
      <c r="G12" s="1">
        <v>25</v>
      </c>
      <c r="H12" s="1">
        <v>23</v>
      </c>
      <c r="I12" s="1">
        <v>25</v>
      </c>
      <c r="J12" s="1">
        <v>23</v>
      </c>
      <c r="K12" s="1">
        <v>18</v>
      </c>
      <c r="L12" s="1">
        <v>25</v>
      </c>
      <c r="M12" s="1">
        <v>25</v>
      </c>
      <c r="N12" s="1">
        <v>16</v>
      </c>
      <c r="O12" s="1">
        <v>0</v>
      </c>
      <c r="P12" s="1">
        <v>0</v>
      </c>
      <c r="Q12" s="1">
        <f>G12+I12+K12+M12+O12</f>
        <v>93</v>
      </c>
      <c r="R12" s="1">
        <f>H12+J12+L12+N12+P12</f>
        <v>87</v>
      </c>
      <c r="S12" s="5"/>
      <c r="T12" s="3"/>
      <c r="U12" s="3"/>
      <c r="V12" s="3"/>
      <c r="W12" s="3"/>
      <c r="X12" s="3"/>
      <c r="Y12" s="3"/>
      <c r="Z12" s="3"/>
      <c r="AA12" s="3"/>
      <c r="AB12" s="3"/>
      <c r="AC12" s="35"/>
      <c r="AD12" s="3"/>
      <c r="AE12" s="3"/>
      <c r="AF12" s="35"/>
      <c r="AG12" s="3"/>
      <c r="AH12" s="3"/>
      <c r="AI12" s="3"/>
      <c r="AJ12" s="3"/>
      <c r="AK12" s="3"/>
      <c r="AL12" s="3"/>
      <c r="AM12" s="5"/>
      <c r="AN12" s="6"/>
      <c r="AO12" s="6"/>
      <c r="AP12" s="6"/>
      <c r="AQ12" s="6"/>
      <c r="AR12" s="6"/>
      <c r="AS12" s="6"/>
      <c r="AT12" s="6"/>
      <c r="AU12" s="6"/>
      <c r="AV12" s="6"/>
    </row>
    <row r="13" spans="1:48" ht="12.75" customHeight="1">
      <c r="A13" s="1" t="s">
        <v>209</v>
      </c>
      <c r="B13" s="1" t="s">
        <v>131</v>
      </c>
      <c r="C13" s="7" t="s">
        <v>163</v>
      </c>
      <c r="D13" s="77" t="s">
        <v>36</v>
      </c>
      <c r="E13" s="1">
        <v>3</v>
      </c>
      <c r="F13" s="1">
        <v>0</v>
      </c>
      <c r="G13" s="1">
        <v>26</v>
      </c>
      <c r="H13" s="1">
        <v>24</v>
      </c>
      <c r="I13" s="1">
        <v>25</v>
      </c>
      <c r="J13" s="1">
        <v>15</v>
      </c>
      <c r="K13" s="1">
        <v>26</v>
      </c>
      <c r="L13" s="1">
        <v>24</v>
      </c>
      <c r="M13" s="1">
        <v>0</v>
      </c>
      <c r="N13" s="1">
        <v>0</v>
      </c>
      <c r="O13" s="1">
        <v>0</v>
      </c>
      <c r="P13" s="1">
        <v>0</v>
      </c>
      <c r="Q13" s="1">
        <f>G13+I13+K13+M13+O13</f>
        <v>77</v>
      </c>
      <c r="R13" s="1">
        <f>H13+J13+L13+N13+P13</f>
        <v>63</v>
      </c>
      <c r="S13" s="5"/>
      <c r="T13" s="3"/>
      <c r="U13" s="3"/>
      <c r="V13" s="3"/>
      <c r="W13" s="3"/>
      <c r="X13" s="3"/>
      <c r="Y13" s="3"/>
      <c r="Z13" s="3"/>
      <c r="AA13" s="3"/>
      <c r="AB13" s="3"/>
      <c r="AC13" s="35"/>
      <c r="AD13" s="3"/>
      <c r="AE13" s="3"/>
      <c r="AF13" s="35"/>
      <c r="AG13" s="3"/>
      <c r="AH13" s="3"/>
      <c r="AI13" s="3"/>
      <c r="AJ13" s="3"/>
      <c r="AK13" s="3"/>
      <c r="AL13" s="3"/>
      <c r="AM13" s="5"/>
      <c r="AN13" s="6"/>
      <c r="AO13" s="6"/>
      <c r="AP13" s="6"/>
      <c r="AQ13" s="6"/>
      <c r="AR13" s="6"/>
      <c r="AS13" s="6"/>
      <c r="AT13" s="6"/>
      <c r="AU13" s="6"/>
      <c r="AV13" s="6"/>
    </row>
    <row r="14" spans="1:48" ht="12.75" customHeight="1">
      <c r="A14" s="1" t="s">
        <v>210</v>
      </c>
      <c r="B14" s="1" t="s">
        <v>131</v>
      </c>
      <c r="C14" s="7" t="s">
        <v>162</v>
      </c>
      <c r="D14" s="77" t="s">
        <v>169</v>
      </c>
      <c r="E14" s="116">
        <v>3</v>
      </c>
      <c r="F14" s="116">
        <v>0</v>
      </c>
      <c r="G14" s="116">
        <v>25</v>
      </c>
      <c r="H14" s="116">
        <v>21</v>
      </c>
      <c r="I14" s="116">
        <v>25</v>
      </c>
      <c r="J14" s="116">
        <v>20</v>
      </c>
      <c r="K14" s="116">
        <v>25</v>
      </c>
      <c r="L14" s="116">
        <v>23</v>
      </c>
      <c r="M14" s="116">
        <v>0</v>
      </c>
      <c r="N14" s="116">
        <v>0</v>
      </c>
      <c r="O14" s="116">
        <v>0</v>
      </c>
      <c r="P14" s="116">
        <v>0</v>
      </c>
      <c r="Q14" s="1">
        <f>G14+I14+K14+M14+O14</f>
        <v>75</v>
      </c>
      <c r="R14" s="1">
        <f>H14+J14+L14+N14+P14</f>
        <v>64</v>
      </c>
      <c r="S14" s="5"/>
      <c r="T14" s="3"/>
      <c r="U14" s="3"/>
      <c r="V14" s="3"/>
      <c r="W14" s="3"/>
      <c r="X14" s="3"/>
      <c r="Y14" s="3"/>
      <c r="Z14" s="3"/>
      <c r="AA14" s="3"/>
      <c r="AB14" s="3"/>
      <c r="AC14" s="35"/>
      <c r="AD14" s="3"/>
      <c r="AE14" s="3"/>
      <c r="AF14" s="35"/>
      <c r="AG14" s="3"/>
      <c r="AH14" s="3"/>
      <c r="AI14" s="3"/>
      <c r="AJ14" s="3"/>
      <c r="AK14" s="3"/>
      <c r="AL14" s="3"/>
      <c r="AM14" s="5"/>
      <c r="AN14" s="6"/>
      <c r="AO14" s="6"/>
      <c r="AP14" s="6"/>
      <c r="AQ14" s="6"/>
      <c r="AR14" s="6"/>
      <c r="AS14" s="6"/>
      <c r="AT14" s="6"/>
      <c r="AU14" s="6"/>
      <c r="AV14" s="6"/>
    </row>
    <row r="15" spans="1:48" ht="12.75" customHeight="1">
      <c r="A15" s="1" t="s">
        <v>211</v>
      </c>
      <c r="B15" s="1" t="s">
        <v>142</v>
      </c>
      <c r="C15" s="77" t="s">
        <v>36</v>
      </c>
      <c r="D15" s="7" t="s">
        <v>162</v>
      </c>
      <c r="E15" s="116">
        <v>1</v>
      </c>
      <c r="F15" s="116">
        <v>3</v>
      </c>
      <c r="G15" s="116">
        <v>25</v>
      </c>
      <c r="H15" s="116">
        <v>21</v>
      </c>
      <c r="I15" s="116">
        <v>21</v>
      </c>
      <c r="J15" s="116">
        <v>25</v>
      </c>
      <c r="K15" s="116">
        <v>17</v>
      </c>
      <c r="L15" s="116">
        <v>25</v>
      </c>
      <c r="M15" s="116">
        <v>18</v>
      </c>
      <c r="N15" s="116">
        <v>25</v>
      </c>
      <c r="O15" s="116">
        <v>0</v>
      </c>
      <c r="P15" s="116">
        <v>0</v>
      </c>
      <c r="Q15" s="1">
        <f>G15+I15+K15+M15+O15</f>
        <v>81</v>
      </c>
      <c r="R15" s="1">
        <f>H15+J15+L15+N15+P15</f>
        <v>96</v>
      </c>
      <c r="S15" s="5"/>
      <c r="T15" s="3"/>
      <c r="U15" s="3"/>
      <c r="V15" s="3"/>
      <c r="W15" s="3"/>
      <c r="X15" s="3"/>
      <c r="Y15" s="3"/>
      <c r="Z15" s="3"/>
      <c r="AA15" s="3"/>
      <c r="AB15" s="3"/>
      <c r="AC15" s="35"/>
      <c r="AD15" s="3"/>
      <c r="AE15" s="3"/>
      <c r="AF15" s="35"/>
      <c r="AG15" s="3"/>
      <c r="AH15" s="3"/>
      <c r="AI15" s="3"/>
      <c r="AJ15" s="3"/>
      <c r="AK15" s="3"/>
      <c r="AL15" s="3"/>
      <c r="AM15" s="5"/>
      <c r="AN15" s="6"/>
      <c r="AO15" s="6"/>
      <c r="AP15" s="6"/>
      <c r="AQ15" s="6"/>
      <c r="AR15" s="6"/>
      <c r="AS15" s="6"/>
      <c r="AT15" s="6"/>
      <c r="AU15" s="6"/>
      <c r="AV15" s="6"/>
    </row>
    <row r="16" spans="1:48" ht="12.75" customHeight="1">
      <c r="A16" s="1" t="s">
        <v>212</v>
      </c>
      <c r="B16" s="1" t="s">
        <v>142</v>
      </c>
      <c r="C16" s="7" t="s">
        <v>163</v>
      </c>
      <c r="D16" s="77" t="s">
        <v>169</v>
      </c>
      <c r="E16" s="116">
        <v>3</v>
      </c>
      <c r="F16" s="116">
        <v>0</v>
      </c>
      <c r="G16" s="116">
        <v>25</v>
      </c>
      <c r="H16" s="116">
        <v>14</v>
      </c>
      <c r="I16" s="116">
        <v>25</v>
      </c>
      <c r="J16" s="116">
        <v>15</v>
      </c>
      <c r="K16" s="116">
        <v>25</v>
      </c>
      <c r="L16" s="116">
        <v>23</v>
      </c>
      <c r="M16" s="116">
        <v>0</v>
      </c>
      <c r="N16" s="116">
        <v>0</v>
      </c>
      <c r="O16" s="116">
        <v>0</v>
      </c>
      <c r="P16" s="116">
        <v>0</v>
      </c>
      <c r="Q16" s="1">
        <f>G16+I16+K16+M16+O16</f>
        <v>75</v>
      </c>
      <c r="R16" s="1">
        <f>H16+J16+L16+N16+P16</f>
        <v>52</v>
      </c>
      <c r="S16" s="5"/>
      <c r="T16" s="3"/>
      <c r="U16" s="3"/>
      <c r="V16" s="3"/>
      <c r="W16" s="3"/>
      <c r="X16" s="3"/>
      <c r="Y16" s="3"/>
      <c r="Z16" s="3"/>
      <c r="AA16" s="3"/>
      <c r="AB16" s="3"/>
      <c r="AC16" s="35"/>
      <c r="AD16" s="3"/>
      <c r="AE16" s="3"/>
      <c r="AF16" s="35"/>
      <c r="AG16" s="3"/>
      <c r="AH16" s="3"/>
      <c r="AI16" s="3"/>
      <c r="AJ16" s="3"/>
      <c r="AK16" s="3"/>
      <c r="AL16" s="3"/>
      <c r="AM16" s="5"/>
      <c r="AN16" s="6"/>
      <c r="AO16" s="6"/>
      <c r="AP16" s="6"/>
      <c r="AQ16" s="6"/>
      <c r="AR16" s="6"/>
      <c r="AS16" s="6"/>
      <c r="AT16" s="6"/>
      <c r="AU16" s="6"/>
      <c r="AV16" s="6"/>
    </row>
    <row r="17" spans="1:48" ht="12.75" customHeight="1">
      <c r="A17" s="1" t="s">
        <v>213</v>
      </c>
      <c r="B17" s="1" t="s">
        <v>142</v>
      </c>
      <c r="C17" s="7" t="s">
        <v>169</v>
      </c>
      <c r="D17" s="77" t="s">
        <v>36</v>
      </c>
      <c r="E17" s="116">
        <v>1</v>
      </c>
      <c r="F17" s="116">
        <v>3</v>
      </c>
      <c r="G17" s="116">
        <v>24</v>
      </c>
      <c r="H17" s="116">
        <v>26</v>
      </c>
      <c r="I17" s="116">
        <v>25</v>
      </c>
      <c r="J17" s="116">
        <v>17</v>
      </c>
      <c r="K17" s="116">
        <v>6</v>
      </c>
      <c r="L17" s="116">
        <v>25</v>
      </c>
      <c r="M17" s="116">
        <v>0</v>
      </c>
      <c r="N17" s="116">
        <v>25</v>
      </c>
      <c r="O17" s="116">
        <v>0</v>
      </c>
      <c r="P17" s="116">
        <v>0</v>
      </c>
      <c r="Q17" s="1">
        <f>G17+I17+K17+M17+O17</f>
        <v>55</v>
      </c>
      <c r="R17" s="1">
        <f>H17+J17+L17+N17+P17</f>
        <v>93</v>
      </c>
      <c r="S17" s="5"/>
      <c r="T17" s="3"/>
      <c r="U17" s="3"/>
      <c r="V17" s="3"/>
      <c r="W17" s="3"/>
      <c r="X17" s="3"/>
      <c r="Y17" s="3"/>
      <c r="Z17" s="3"/>
      <c r="AA17" s="3"/>
      <c r="AB17" s="3"/>
      <c r="AC17" s="35"/>
      <c r="AD17" s="3"/>
      <c r="AE17" s="3"/>
      <c r="AF17" s="35"/>
      <c r="AG17" s="3"/>
      <c r="AH17" s="3"/>
      <c r="AI17" s="3"/>
      <c r="AJ17" s="3"/>
      <c r="AK17" s="3"/>
      <c r="AL17" s="3"/>
      <c r="AM17" s="5"/>
      <c r="AN17" s="6"/>
      <c r="AO17" s="6"/>
      <c r="AP17" s="6"/>
      <c r="AQ17" s="6"/>
      <c r="AR17" s="6"/>
      <c r="AS17" s="6"/>
      <c r="AT17" s="6"/>
      <c r="AU17" s="6"/>
      <c r="AV17" s="6"/>
    </row>
    <row r="18" spans="1:48" ht="12.75" customHeight="1">
      <c r="A18" s="1" t="s">
        <v>214</v>
      </c>
      <c r="B18" s="1" t="s">
        <v>142</v>
      </c>
      <c r="C18" s="77" t="s">
        <v>162</v>
      </c>
      <c r="D18" s="7" t="s">
        <v>163</v>
      </c>
      <c r="E18" s="116">
        <v>1</v>
      </c>
      <c r="F18" s="116">
        <v>3</v>
      </c>
      <c r="G18" s="116">
        <v>22</v>
      </c>
      <c r="H18" s="116">
        <v>25</v>
      </c>
      <c r="I18" s="116">
        <v>20</v>
      </c>
      <c r="J18" s="116">
        <v>25</v>
      </c>
      <c r="K18" s="116">
        <v>25</v>
      </c>
      <c r="L18" s="116">
        <v>14</v>
      </c>
      <c r="M18" s="116">
        <v>22</v>
      </c>
      <c r="N18" s="116">
        <v>25</v>
      </c>
      <c r="O18" s="116">
        <v>0</v>
      </c>
      <c r="P18" s="116">
        <v>0</v>
      </c>
      <c r="Q18" s="1">
        <f>G18+I18+K18+M18+O18</f>
        <v>89</v>
      </c>
      <c r="R18" s="1">
        <f>H18+J18+L18+N18+P18</f>
        <v>89</v>
      </c>
      <c r="S18" s="5"/>
      <c r="T18" s="6"/>
      <c r="U18" s="6"/>
      <c r="V18" s="117"/>
      <c r="W18" s="117"/>
      <c r="X18" s="117"/>
      <c r="Y18" s="117"/>
      <c r="Z18" s="117"/>
      <c r="AA18" s="117"/>
      <c r="AB18" s="117"/>
      <c r="AC18" s="119"/>
      <c r="AD18" s="117"/>
      <c r="AE18" s="117"/>
      <c r="AF18" s="119"/>
      <c r="AG18" s="117"/>
      <c r="AH18" s="117"/>
      <c r="AI18" s="117"/>
      <c r="AJ18" s="117"/>
      <c r="AK18" s="117"/>
      <c r="AL18" s="117"/>
      <c r="AM18" s="5"/>
      <c r="AN18" s="6"/>
      <c r="AO18" s="6"/>
      <c r="AP18" s="6"/>
      <c r="AQ18" s="6"/>
      <c r="AR18" s="6"/>
      <c r="AS18" s="6"/>
      <c r="AT18" s="6"/>
      <c r="AU18" s="6"/>
      <c r="AV18" s="6"/>
    </row>
    <row r="19" spans="1:48" ht="12.75" customHeight="1">
      <c r="A19" s="1" t="s">
        <v>215</v>
      </c>
      <c r="B19" s="1" t="s">
        <v>142</v>
      </c>
      <c r="C19" s="77" t="s">
        <v>36</v>
      </c>
      <c r="D19" s="77" t="s">
        <v>163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f>G19+I19+K19+M19+O19</f>
        <v>0</v>
      </c>
      <c r="R19" s="1">
        <f>H19+J19+L19+N19+P19</f>
        <v>0</v>
      </c>
      <c r="S19" s="5"/>
      <c r="T19" s="6"/>
      <c r="U19" s="6"/>
      <c r="V19" s="117"/>
      <c r="W19" s="117"/>
      <c r="X19" s="117"/>
      <c r="Y19" s="117"/>
      <c r="Z19" s="117"/>
      <c r="AA19" s="117"/>
      <c r="AB19" s="117"/>
      <c r="AC19" s="119"/>
      <c r="AD19" s="117"/>
      <c r="AE19" s="117"/>
      <c r="AF19" s="119"/>
      <c r="AG19" s="117"/>
      <c r="AH19" s="117"/>
      <c r="AI19" s="117"/>
      <c r="AJ19" s="117"/>
      <c r="AK19" s="117"/>
      <c r="AL19" s="117"/>
      <c r="AM19" s="5"/>
      <c r="AN19" s="6"/>
      <c r="AO19" s="6"/>
      <c r="AP19" s="6"/>
      <c r="AQ19" s="6"/>
      <c r="AR19" s="6"/>
      <c r="AS19" s="6"/>
      <c r="AT19" s="6"/>
      <c r="AU19" s="6"/>
      <c r="AV19" s="6"/>
    </row>
    <row r="20" spans="1:48" ht="12.75" customHeight="1">
      <c r="A20" s="1" t="s">
        <v>216</v>
      </c>
      <c r="B20" s="1" t="s">
        <v>142</v>
      </c>
      <c r="C20" s="77" t="s">
        <v>169</v>
      </c>
      <c r="D20" s="77" t="s">
        <v>162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>
        <f>G20+I20+K20+M20+O20</f>
        <v>0</v>
      </c>
      <c r="R20" s="1">
        <f>H20+J20+L20+N20+P20</f>
        <v>0</v>
      </c>
      <c r="S20" s="5"/>
      <c r="T20" s="6"/>
      <c r="U20" s="6"/>
      <c r="V20" s="117"/>
      <c r="W20" s="117"/>
      <c r="X20" s="117"/>
      <c r="Y20" s="117"/>
      <c r="Z20" s="117"/>
      <c r="AA20" s="117"/>
      <c r="AB20" s="117"/>
      <c r="AC20" s="119"/>
      <c r="AD20" s="117"/>
      <c r="AE20" s="117"/>
      <c r="AF20" s="119"/>
      <c r="AG20" s="117"/>
      <c r="AH20" s="117"/>
      <c r="AI20" s="117"/>
      <c r="AJ20" s="117"/>
      <c r="AK20" s="117"/>
      <c r="AL20" s="117"/>
      <c r="AM20" s="5"/>
      <c r="AN20" s="6"/>
      <c r="AO20" s="6"/>
      <c r="AP20" s="6"/>
      <c r="AQ20" s="6"/>
      <c r="AR20" s="6"/>
      <c r="AS20" s="6"/>
      <c r="AT20" s="6"/>
      <c r="AU20" s="6"/>
      <c r="AV20" s="6"/>
    </row>
    <row r="21" spans="1:48" ht="12.75" customHeight="1">
      <c r="A21" s="1" t="s">
        <v>217</v>
      </c>
      <c r="B21" s="1" t="s">
        <v>218</v>
      </c>
      <c r="C21" s="77" t="s">
        <v>36</v>
      </c>
      <c r="D21" s="7" t="s">
        <v>162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>
        <f>G21+I21+K21+M21+O21</f>
        <v>0</v>
      </c>
      <c r="R21" s="1">
        <f>H21+J21+L21+N21+P21</f>
        <v>0</v>
      </c>
      <c r="S21" s="6"/>
      <c r="T21" s="6"/>
      <c r="U21" s="6"/>
      <c r="V21" s="117"/>
      <c r="W21" s="117"/>
      <c r="X21" s="117"/>
      <c r="Y21" s="117"/>
      <c r="Z21" s="117"/>
      <c r="AA21" s="117"/>
      <c r="AB21" s="117"/>
      <c r="AC21" s="119"/>
      <c r="AD21" s="117"/>
      <c r="AE21" s="117"/>
      <c r="AF21" s="119"/>
      <c r="AG21" s="117"/>
      <c r="AH21" s="117"/>
      <c r="AI21" s="117"/>
      <c r="AJ21" s="117"/>
      <c r="AK21" s="117"/>
      <c r="AL21" s="117"/>
      <c r="AM21" s="6"/>
      <c r="AN21" s="6"/>
      <c r="AO21" s="6"/>
      <c r="AP21" s="6"/>
      <c r="AQ21" s="6"/>
      <c r="AR21" s="6"/>
      <c r="AS21" s="6"/>
      <c r="AT21" s="6"/>
      <c r="AU21" s="6"/>
      <c r="AV21" s="6"/>
    </row>
    <row r="22" spans="1:48" ht="12.75" customHeight="1">
      <c r="A22" s="1" t="s">
        <v>219</v>
      </c>
      <c r="B22" s="1" t="s">
        <v>218</v>
      </c>
      <c r="C22" s="77" t="s">
        <v>163</v>
      </c>
      <c r="D22" s="77" t="s">
        <v>169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>
        <f>G22+I22+K22+M22+O22</f>
        <v>0</v>
      </c>
      <c r="R22" s="1">
        <f>H22+J22+L22+N22+P22</f>
        <v>0</v>
      </c>
      <c r="S22" s="6"/>
      <c r="T22" s="6"/>
      <c r="U22" s="6"/>
      <c r="V22" s="117"/>
      <c r="W22" s="117"/>
      <c r="X22" s="117"/>
      <c r="Y22" s="117"/>
      <c r="Z22" s="117"/>
      <c r="AA22" s="117"/>
      <c r="AB22" s="117"/>
      <c r="AC22" s="119"/>
      <c r="AD22" s="117"/>
      <c r="AE22" s="117"/>
      <c r="AF22" s="119"/>
      <c r="AG22" s="117"/>
      <c r="AH22" s="117"/>
      <c r="AI22" s="117"/>
      <c r="AJ22" s="117"/>
      <c r="AK22" s="117"/>
      <c r="AL22" s="117"/>
      <c r="AM22" s="6"/>
      <c r="AN22" s="6"/>
      <c r="AO22" s="6"/>
      <c r="AP22" s="6"/>
      <c r="AQ22" s="6"/>
      <c r="AR22" s="6"/>
      <c r="AS22" s="6"/>
      <c r="AT22" s="6"/>
      <c r="AU22" s="6"/>
      <c r="AV22" s="6"/>
    </row>
    <row r="23" spans="1:48" ht="12.75" customHeight="1">
      <c r="A23" s="1" t="s">
        <v>220</v>
      </c>
      <c r="B23" s="1" t="s">
        <v>218</v>
      </c>
      <c r="C23" s="77" t="s">
        <v>169</v>
      </c>
      <c r="D23" s="7" t="s">
        <v>36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f>G23+I23+K23+M23+O23</f>
        <v>0</v>
      </c>
      <c r="R23" s="1">
        <f>H23+J23+L23+N23+P23</f>
        <v>0</v>
      </c>
      <c r="S23" s="6"/>
      <c r="T23" s="6"/>
      <c r="U23" s="6"/>
      <c r="V23" s="117"/>
      <c r="W23" s="117"/>
      <c r="X23" s="117"/>
      <c r="Y23" s="117"/>
      <c r="Z23" s="117"/>
      <c r="AA23" s="117"/>
      <c r="AB23" s="117"/>
      <c r="AC23" s="119"/>
      <c r="AD23" s="117"/>
      <c r="AE23" s="117"/>
      <c r="AF23" s="119"/>
      <c r="AG23" s="117"/>
      <c r="AH23" s="117"/>
      <c r="AI23" s="117"/>
      <c r="AJ23" s="117"/>
      <c r="AK23" s="117"/>
      <c r="AL23" s="117"/>
      <c r="AM23" s="6"/>
      <c r="AN23" s="6"/>
      <c r="AO23" s="6"/>
      <c r="AP23" s="6"/>
      <c r="AQ23" s="6"/>
      <c r="AR23" s="6"/>
      <c r="AS23" s="6"/>
      <c r="AT23" s="6"/>
      <c r="AU23" s="6"/>
      <c r="AV23" s="6"/>
    </row>
    <row r="24" spans="1:48" ht="12.75" customHeight="1">
      <c r="A24" s="1" t="s">
        <v>221</v>
      </c>
      <c r="B24" s="1" t="s">
        <v>218</v>
      </c>
      <c r="C24" s="77" t="s">
        <v>162</v>
      </c>
      <c r="D24" s="77" t="s">
        <v>163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>
        <f>G24+I24+K24+M24+O24</f>
        <v>0</v>
      </c>
      <c r="R24" s="1">
        <f>H24+J24+L24+N24+P24</f>
        <v>0</v>
      </c>
      <c r="S24" s="6"/>
      <c r="T24" s="6"/>
      <c r="U24" s="6"/>
      <c r="V24" s="117"/>
      <c r="W24" s="117"/>
      <c r="X24" s="117"/>
      <c r="Y24" s="117"/>
      <c r="Z24" s="117"/>
      <c r="AA24" s="117"/>
      <c r="AB24" s="117"/>
      <c r="AC24" s="119"/>
      <c r="AD24" s="117"/>
      <c r="AE24" s="117"/>
      <c r="AF24" s="119"/>
      <c r="AG24" s="117"/>
      <c r="AH24" s="117"/>
      <c r="AI24" s="117"/>
      <c r="AJ24" s="117"/>
      <c r="AK24" s="117"/>
      <c r="AL24" s="117"/>
      <c r="AM24" s="6"/>
      <c r="AN24" s="6"/>
      <c r="AO24" s="6"/>
      <c r="AP24" s="6"/>
      <c r="AQ24" s="6"/>
      <c r="AR24" s="6"/>
      <c r="AS24" s="6"/>
      <c r="AT24" s="6"/>
      <c r="AU24" s="6"/>
      <c r="AV24" s="6"/>
    </row>
    <row r="25" spans="1:48" ht="12.75" customHeight="1">
      <c r="A25" s="1" t="s">
        <v>222</v>
      </c>
      <c r="B25" s="1" t="s">
        <v>218</v>
      </c>
      <c r="C25" s="77" t="s">
        <v>36</v>
      </c>
      <c r="D25" s="7" t="s">
        <v>163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>
        <f>G25+I25+K25+M25+O25</f>
        <v>0</v>
      </c>
      <c r="R25" s="1">
        <f>H25+J25+L25+N25+P25</f>
        <v>0</v>
      </c>
      <c r="S25" s="6"/>
      <c r="T25" s="6"/>
      <c r="U25" s="6"/>
      <c r="V25" s="117"/>
      <c r="W25" s="117"/>
      <c r="X25" s="117"/>
      <c r="Y25" s="117"/>
      <c r="Z25" s="117"/>
      <c r="AA25" s="117"/>
      <c r="AB25" s="117"/>
      <c r="AC25" s="119"/>
      <c r="AD25" s="117"/>
      <c r="AE25" s="117"/>
      <c r="AF25" s="119"/>
      <c r="AG25" s="117"/>
      <c r="AH25" s="117"/>
      <c r="AI25" s="117"/>
      <c r="AJ25" s="117"/>
      <c r="AK25" s="117"/>
      <c r="AL25" s="117"/>
      <c r="AM25" s="6"/>
      <c r="AN25" s="6"/>
      <c r="AO25" s="6"/>
      <c r="AP25" s="6"/>
      <c r="AQ25" s="6"/>
      <c r="AR25" s="6"/>
      <c r="AS25" s="6"/>
      <c r="AT25" s="6"/>
      <c r="AU25" s="6"/>
      <c r="AV25" s="6"/>
    </row>
    <row r="26" spans="1:48" ht="12.75" customHeight="1">
      <c r="A26" s="1" t="s">
        <v>223</v>
      </c>
      <c r="B26" s="1" t="s">
        <v>218</v>
      </c>
      <c r="C26" s="77" t="s">
        <v>169</v>
      </c>
      <c r="D26" s="7" t="s">
        <v>162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>
        <f>G26+I26+K26+M26+O26</f>
        <v>0</v>
      </c>
      <c r="R26" s="1">
        <f>H26+J26+L26+N26+P26</f>
        <v>0</v>
      </c>
      <c r="S26" s="6"/>
      <c r="T26" s="6"/>
      <c r="U26" s="6"/>
      <c r="V26" s="117"/>
      <c r="W26" s="117"/>
      <c r="X26" s="117"/>
      <c r="Y26" s="117"/>
      <c r="Z26" s="117"/>
      <c r="AA26" s="117"/>
      <c r="AB26" s="117"/>
      <c r="AC26" s="119"/>
      <c r="AD26" s="117"/>
      <c r="AE26" s="117"/>
      <c r="AF26" s="119"/>
      <c r="AG26" s="117"/>
      <c r="AH26" s="117"/>
      <c r="AI26" s="117"/>
      <c r="AJ26" s="117"/>
      <c r="AK26" s="117"/>
      <c r="AL26" s="117"/>
      <c r="AM26" s="6"/>
      <c r="AN26" s="6"/>
      <c r="AO26" s="6"/>
      <c r="AP26" s="6"/>
      <c r="AQ26" s="6"/>
      <c r="AR26" s="6"/>
      <c r="AS26" s="6"/>
      <c r="AT26" s="6"/>
      <c r="AU26" s="6"/>
      <c r="AV26" s="6"/>
    </row>
    <row r="27" spans="1:48" ht="12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117"/>
      <c r="W27" s="117"/>
      <c r="X27" s="117"/>
      <c r="Y27" s="117"/>
      <c r="Z27" s="117"/>
      <c r="AA27" s="117"/>
      <c r="AB27" s="117"/>
      <c r="AC27" s="119"/>
      <c r="AD27" s="117"/>
      <c r="AE27" s="117"/>
      <c r="AF27" s="119"/>
      <c r="AG27" s="117"/>
      <c r="AH27" s="117"/>
      <c r="AI27" s="117"/>
      <c r="AJ27" s="117"/>
      <c r="AK27" s="117"/>
      <c r="AL27" s="117"/>
      <c r="AM27" s="6"/>
      <c r="AN27" s="6"/>
      <c r="AO27" s="6"/>
      <c r="AP27" s="6"/>
      <c r="AQ27" s="6"/>
      <c r="AR27" s="6"/>
      <c r="AS27" s="6"/>
      <c r="AT27" s="6"/>
      <c r="AU27" s="6"/>
      <c r="AV27" s="6"/>
    </row>
  </sheetData>
  <sheetProtection/>
  <mergeCells count="14">
    <mergeCell ref="W1:Z1"/>
    <mergeCell ref="AA1:AC1"/>
    <mergeCell ref="AD1:AF1"/>
    <mergeCell ref="AG1:AL1"/>
    <mergeCell ref="O2:P2"/>
    <mergeCell ref="Q2:R2"/>
    <mergeCell ref="C1:D1"/>
    <mergeCell ref="E1:F1"/>
    <mergeCell ref="G1:R1"/>
    <mergeCell ref="E2:F2"/>
    <mergeCell ref="G2:H2"/>
    <mergeCell ref="I2:J2"/>
    <mergeCell ref="K2:L2"/>
    <mergeCell ref="M2:N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21"/>
  <sheetViews>
    <sheetView showGridLines="0" zoomScalePageLayoutView="0" workbookViewId="0" topLeftCell="A1">
      <selection activeCell="A1" sqref="A1"/>
    </sheetView>
  </sheetViews>
  <sheetFormatPr defaultColWidth="14.421875" defaultRowHeight="15" customHeight="1"/>
  <cols>
    <col min="1" max="1" width="7.28125" style="0" customWidth="1"/>
    <col min="2" max="2" width="11.7109375" style="0" customWidth="1"/>
    <col min="3" max="3" width="25.8515625" style="0" customWidth="1"/>
    <col min="4" max="4" width="26.8515625" style="0" customWidth="1"/>
    <col min="5" max="18" width="5.7109375" style="0" customWidth="1"/>
    <col min="19" max="19" width="4.140625" style="0" customWidth="1"/>
    <col min="20" max="20" width="2.8515625" style="0" customWidth="1"/>
    <col min="21" max="21" width="22.421875" style="0" customWidth="1"/>
    <col min="22" max="22" width="8.00390625" style="0" customWidth="1"/>
    <col min="23" max="23" width="4.57421875" style="0" customWidth="1"/>
    <col min="24" max="25" width="5.7109375" style="0" customWidth="1"/>
    <col min="26" max="26" width="4.57421875" style="0" customWidth="1"/>
    <col min="27" max="27" width="5.00390625" style="0" customWidth="1"/>
    <col min="28" max="28" width="4.8515625" style="0" customWidth="1"/>
    <col min="29" max="29" width="6.57421875" style="0" customWidth="1"/>
    <col min="30" max="30" width="4.8515625" style="0" customWidth="1"/>
    <col min="31" max="31" width="5.00390625" style="0" customWidth="1"/>
    <col min="32" max="32" width="5.8515625" style="0" customWidth="1"/>
    <col min="33" max="33" width="5.00390625" style="0" customWidth="1"/>
    <col min="34" max="34" width="4.8515625" style="0" customWidth="1"/>
    <col min="35" max="35" width="4.7109375" style="0" customWidth="1"/>
    <col min="36" max="36" width="4.57421875" style="0" customWidth="1"/>
    <col min="37" max="37" width="4.140625" style="0" customWidth="1"/>
    <col min="38" max="38" width="4.8515625" style="0" customWidth="1"/>
    <col min="39" max="48" width="11.421875" style="0" customWidth="1"/>
  </cols>
  <sheetData>
    <row r="1" spans="1:48" ht="12.75" customHeight="1">
      <c r="A1" s="1"/>
      <c r="B1" s="1"/>
      <c r="C1" s="159" t="s">
        <v>0</v>
      </c>
      <c r="D1" s="143"/>
      <c r="E1" s="158"/>
      <c r="F1" s="143"/>
      <c r="G1" s="159" t="s">
        <v>1</v>
      </c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3"/>
      <c r="S1" s="3"/>
      <c r="T1" s="4"/>
      <c r="U1" s="4" t="s">
        <v>3</v>
      </c>
      <c r="V1" s="4" t="s">
        <v>3</v>
      </c>
      <c r="W1" s="157" t="s">
        <v>4</v>
      </c>
      <c r="X1" s="142"/>
      <c r="Y1" s="142"/>
      <c r="Z1" s="143"/>
      <c r="AA1" s="156" t="s">
        <v>5</v>
      </c>
      <c r="AB1" s="142"/>
      <c r="AC1" s="143"/>
      <c r="AD1" s="156" t="s">
        <v>6</v>
      </c>
      <c r="AE1" s="142"/>
      <c r="AF1" s="143"/>
      <c r="AG1" s="156" t="s">
        <v>7</v>
      </c>
      <c r="AH1" s="142"/>
      <c r="AI1" s="142"/>
      <c r="AJ1" s="142"/>
      <c r="AK1" s="142"/>
      <c r="AL1" s="143"/>
      <c r="AM1" s="5"/>
      <c r="AN1" s="6"/>
      <c r="AO1" s="6"/>
      <c r="AP1" s="6"/>
      <c r="AQ1" s="6"/>
      <c r="AR1" s="6"/>
      <c r="AS1" s="6"/>
      <c r="AT1" s="6"/>
      <c r="AU1" s="6"/>
      <c r="AV1" s="6"/>
    </row>
    <row r="2" spans="1:48" ht="12.75" customHeight="1">
      <c r="A2" s="7" t="s">
        <v>8</v>
      </c>
      <c r="B2" s="7" t="s">
        <v>9</v>
      </c>
      <c r="C2" s="7" t="s">
        <v>10</v>
      </c>
      <c r="D2" s="7" t="s">
        <v>11</v>
      </c>
      <c r="E2" s="159" t="s">
        <v>5</v>
      </c>
      <c r="F2" s="143"/>
      <c r="G2" s="160">
        <v>1</v>
      </c>
      <c r="H2" s="143"/>
      <c r="I2" s="159">
        <v>2</v>
      </c>
      <c r="J2" s="143"/>
      <c r="K2" s="160">
        <v>3</v>
      </c>
      <c r="L2" s="143"/>
      <c r="M2" s="159">
        <v>4</v>
      </c>
      <c r="N2" s="143"/>
      <c r="O2" s="160">
        <v>5</v>
      </c>
      <c r="P2" s="143"/>
      <c r="Q2" s="159" t="s">
        <v>12</v>
      </c>
      <c r="R2" s="143"/>
      <c r="S2" s="3"/>
      <c r="T2" s="4" t="s">
        <v>13</v>
      </c>
      <c r="U2" s="4" t="s">
        <v>14</v>
      </c>
      <c r="V2" s="4" t="s">
        <v>6</v>
      </c>
      <c r="W2" s="8" t="s">
        <v>12</v>
      </c>
      <c r="X2" s="9" t="s">
        <v>15</v>
      </c>
      <c r="Y2" s="9" t="s">
        <v>16</v>
      </c>
      <c r="Z2" s="4" t="s">
        <v>17</v>
      </c>
      <c r="AA2" s="9" t="s">
        <v>15</v>
      </c>
      <c r="AB2" s="4" t="s">
        <v>16</v>
      </c>
      <c r="AC2" s="4" t="s">
        <v>18</v>
      </c>
      <c r="AD2" s="9" t="s">
        <v>15</v>
      </c>
      <c r="AE2" s="4" t="s">
        <v>16</v>
      </c>
      <c r="AF2" s="4" t="s">
        <v>18</v>
      </c>
      <c r="AG2" s="114" t="s">
        <v>19</v>
      </c>
      <c r="AH2" s="114" t="s">
        <v>20</v>
      </c>
      <c r="AI2" s="114" t="s">
        <v>21</v>
      </c>
      <c r="AJ2" s="114" t="s">
        <v>22</v>
      </c>
      <c r="AK2" s="114" t="s">
        <v>23</v>
      </c>
      <c r="AL2" s="114" t="s">
        <v>24</v>
      </c>
      <c r="AM2" s="5"/>
      <c r="AN2" s="6"/>
      <c r="AO2" s="6"/>
      <c r="AP2" s="6"/>
      <c r="AQ2" s="6"/>
      <c r="AR2" s="6"/>
      <c r="AS2" s="6"/>
      <c r="AT2" s="6"/>
      <c r="AU2" s="6"/>
      <c r="AV2" s="6"/>
    </row>
    <row r="3" spans="1:48" ht="12.75" customHeight="1">
      <c r="A3" s="1" t="s">
        <v>224</v>
      </c>
      <c r="B3" s="1" t="s">
        <v>32</v>
      </c>
      <c r="C3" s="7" t="s">
        <v>155</v>
      </c>
      <c r="D3" s="77" t="s">
        <v>41</v>
      </c>
      <c r="E3" s="1">
        <v>0</v>
      </c>
      <c r="F3" s="1">
        <v>3</v>
      </c>
      <c r="G3" s="1">
        <v>15</v>
      </c>
      <c r="H3" s="1">
        <v>25</v>
      </c>
      <c r="I3" s="1">
        <v>12</v>
      </c>
      <c r="J3" s="1">
        <v>25</v>
      </c>
      <c r="K3" s="1">
        <v>18</v>
      </c>
      <c r="L3" s="1">
        <v>25</v>
      </c>
      <c r="M3" s="1">
        <v>0</v>
      </c>
      <c r="N3" s="1">
        <v>0</v>
      </c>
      <c r="O3" s="1">
        <v>0</v>
      </c>
      <c r="P3" s="1">
        <v>0</v>
      </c>
      <c r="Q3" s="1">
        <f>G3+I3+K3+M3+O3</f>
        <v>45</v>
      </c>
      <c r="R3" s="1">
        <f>H3+J3+L3+N3+P3</f>
        <v>75</v>
      </c>
      <c r="S3" s="5"/>
      <c r="T3" s="7">
        <v>1</v>
      </c>
      <c r="U3" s="7" t="s">
        <v>120</v>
      </c>
      <c r="V3" s="2">
        <f>AG3*3+AH3*3+AI3*2+AJ3*1</f>
        <v>12</v>
      </c>
      <c r="W3" s="1">
        <f>X3+Y3+Z3</f>
        <v>4</v>
      </c>
      <c r="X3" s="13">
        <f>COUNTIF($E$5,"=3")+COUNTIF($F$8,"=3")+COUNTIF($E$10,"=3")+COUNTIF($F$12,"=3")</f>
        <v>4</v>
      </c>
      <c r="Y3" s="13">
        <f>SUM(IF($E$5&lt;$F$5,1,0))+SUM(IF($F$8&lt;$E$8,1,0))+SUM(IF($E$10&lt;$F$10,1,0))+SUM(IF($F$12&lt;$E$12,1,0))</f>
        <v>0</v>
      </c>
      <c r="Z3" s="18"/>
      <c r="AA3" s="13">
        <f>$E$5+$F$8+$E$10+$F$12</f>
        <v>12</v>
      </c>
      <c r="AB3" s="13">
        <f>$F$5+$E$8+$F$10+$E$12</f>
        <v>1</v>
      </c>
      <c r="AC3" s="1">
        <f>IF(AB3=0,"MAX",AA3/AB3)</f>
        <v>12</v>
      </c>
      <c r="AD3" s="13">
        <f>$Q$5+$R$8+$Q$10+$R$12</f>
        <v>320</v>
      </c>
      <c r="AE3" s="13">
        <f>$R$5+$Q$8+$R$10+$Q$12</f>
        <v>211</v>
      </c>
      <c r="AF3" s="1">
        <v>1.41</v>
      </c>
      <c r="AG3" s="13">
        <f>SUM(IF(AND($E$5=3,$F$5=0),1,0))+SUM(IF(AND($F$8=3,$E$8=0),1,0))+SUM(IF(AND($E$10=3,$F$10=0),1,0))+SUM(IF(AND($F$12=3,$E$12=0),1,0))</f>
        <v>3</v>
      </c>
      <c r="AH3" s="13">
        <f>SUM(IF(AND($E$5=3,$F$5=1),1,0))+SUM(IF(AND($F$8=3,$E$8=1),1,0))+SUM(IF(AND($E$10=3,$F$10=1),1,0))+SUM(IF(AND($F$12=3,$E$12=1),1,0))</f>
        <v>1</v>
      </c>
      <c r="AI3" s="13">
        <f>SUM(IF(AND($E$5=3,$F$5=2),1,0))+SUM(IF(AND($F$8=3,$E$8=2),1,0))+SUM(IF(AND($E$10=3,$F$10=2),1,0))+SUM(IF(AND($F$12=3,$E$12=2),1,0))</f>
        <v>0</v>
      </c>
      <c r="AJ3" s="13">
        <f>SUM(IF(AND($E$5=2,$F$5=3),1,0))+SUM(IF(AND($F$8=2,$E$8=3),1,0))+SUM(IF(AND($E$10=2,$F$10=3),1,0))+SUM(IF(AND($F$12=2,$E$12=3),1,0))</f>
        <v>0</v>
      </c>
      <c r="AK3" s="13">
        <f>SUM(IF(AND($E$5=1,$F$5=3),1,0))+SUM(IF(AND($F$8=1,$E$8=3),1,0))+SUM(IF(AND($E$10=1,$F$10=3),1,0))+SUM(IF(AND($F$12=1,$E$12=3),1,0))</f>
        <v>0</v>
      </c>
      <c r="AL3" s="13">
        <f>SUM(IF(AND($E$5=0,$F$5=3),1,0))+SUM(IF(AND($F$8=0,$E$8=3),1,0))+SUM(IF(AND($E$10=0,$F$10=3),1,0))+SUM(IF(AND($F$12=0,$E$12=3),1,0))</f>
        <v>0</v>
      </c>
      <c r="AM3" s="5"/>
      <c r="AN3" s="6"/>
      <c r="AO3" s="6"/>
      <c r="AP3" s="6"/>
      <c r="AQ3" s="6"/>
      <c r="AR3" s="6"/>
      <c r="AS3" s="6"/>
      <c r="AT3" s="6"/>
      <c r="AU3" s="6"/>
      <c r="AV3" s="6"/>
    </row>
    <row r="4" spans="1:48" ht="12.75" customHeight="1">
      <c r="A4" s="1" t="s">
        <v>225</v>
      </c>
      <c r="B4" s="1" t="s">
        <v>32</v>
      </c>
      <c r="C4" s="77" t="s">
        <v>39</v>
      </c>
      <c r="D4" s="7" t="s">
        <v>42</v>
      </c>
      <c r="E4" s="1">
        <v>0</v>
      </c>
      <c r="F4" s="1">
        <v>3</v>
      </c>
      <c r="G4" s="1">
        <v>10</v>
      </c>
      <c r="H4" s="1">
        <v>25</v>
      </c>
      <c r="I4" s="1">
        <v>13</v>
      </c>
      <c r="J4" s="1">
        <v>25</v>
      </c>
      <c r="K4" s="1">
        <v>17</v>
      </c>
      <c r="L4" s="1">
        <v>25</v>
      </c>
      <c r="M4" s="1">
        <v>0</v>
      </c>
      <c r="N4" s="1">
        <v>0</v>
      </c>
      <c r="O4" s="1">
        <v>0</v>
      </c>
      <c r="P4" s="1">
        <v>0</v>
      </c>
      <c r="Q4" s="1">
        <f>G4+I4+K4+M4+O4</f>
        <v>40</v>
      </c>
      <c r="R4" s="1">
        <f>H4+J4+L4+N4+P4</f>
        <v>75</v>
      </c>
      <c r="S4" s="5"/>
      <c r="T4" s="7">
        <v>2</v>
      </c>
      <c r="U4" s="7" t="s">
        <v>42</v>
      </c>
      <c r="V4" s="2">
        <f>AG4*3+AH4*3+AI4*2+AJ4*1</f>
        <v>9</v>
      </c>
      <c r="W4" s="1">
        <f>X4+Y4+Z4</f>
        <v>4</v>
      </c>
      <c r="X4" s="13">
        <f>COUNTIF($F$4,"=3")+COUNTIF($E$7,"=3")+COUNTIF($F$10,"=3")+COUNTIF($E$11,"=3")</f>
        <v>3</v>
      </c>
      <c r="Y4" s="13">
        <f>SUM(IF($F$4&lt;$E$4,1,0))+SUM(IF($E$7&lt;$F$7,1,0))+SUM(IF($F$10&lt;$E$10,1,0))+SUM(IF($E$11&lt;$F$11,1,0))</f>
        <v>1</v>
      </c>
      <c r="Z4" s="18"/>
      <c r="AA4" s="13">
        <f>$F$4+$E$7+$F$10+$E$11</f>
        <v>9</v>
      </c>
      <c r="AB4" s="13">
        <f>$E$4+$F$7+$E$10+$F$11</f>
        <v>4</v>
      </c>
      <c r="AC4" s="1">
        <f>IF(AB4=0,"MAX",AA4/AB4)</f>
        <v>2.25</v>
      </c>
      <c r="AD4" s="13">
        <f>$R$4+$Q$7+$R$10+$Q$11</f>
        <v>296</v>
      </c>
      <c r="AE4" s="13">
        <f>$Q$4+$R$7+$Q$10+$R$11</f>
        <v>243</v>
      </c>
      <c r="AF4" s="1">
        <v>1.88</v>
      </c>
      <c r="AG4" s="13">
        <f>SUM(IF(AND($F$4=3,$E$4=0),1,0))+SUM(IF(AND($E$7=3,$F$7=0),1,0))+SUM(IF(AND($F$10=3,$E$10=0),1,0))+SUM(IF(AND($E$11=3,$F$11=0),1,0))</f>
        <v>2</v>
      </c>
      <c r="AH4" s="13">
        <f>SUM(IF(AND($F$4=3,$E$4=1),1,0))+SUM(IF(AND($E$7=3,$F$7=1),1,0))+SUM(IF(AND($F$10=3,$E$10=1),1,0))+SUM(IF(AND($E$11=3,$F$11=1),1,0))</f>
        <v>1</v>
      </c>
      <c r="AI4" s="13">
        <f>SUM(IF(AND($F$4=3,$E$4=2),1,0))+SUM(IF(AND($E$7=3,$F$7=2),1,0))+SUM(IF(AND($F$10=3,$E$10=2),1,0))+SUM(IF(AND($E$11=3,$F$11=2),1,0))</f>
        <v>0</v>
      </c>
      <c r="AJ4" s="13">
        <f>SUM(IF(AND($F$4=2,$E$4=3),1,0))+SUM(IF(AND($E$7=2,$F$7=3),1,0))+SUM(IF(AND($F$10=2,$E$10=3),1,0))+SUM(IF(AND($E$11=2,$F$11=3),1,0))</f>
        <v>0</v>
      </c>
      <c r="AK4" s="13">
        <f>SUM(IF(AND($F$4=1,$E$4=3),1,0))+SUM(IF(AND($E$7=1,$F$7=3),1,0))+SUM(IF(AND($F$10=1,$E$10=3),1,0))+SUM(IF(AND($E$11=1,$F$11=3),1,0))</f>
        <v>0</v>
      </c>
      <c r="AL4" s="13">
        <f>SUM(IF(AND($F$4=0,$E$4=3),1,0))+SUM(IF(AND($E$7=0,$F$7=3),1,0))+SUM(IF(AND($F$10=0,$E$10=3),1,0))+SUM(IF(AND($E$11=0,$F$11=3),1,0))</f>
        <v>1</v>
      </c>
      <c r="AM4" s="5"/>
      <c r="AN4" s="6"/>
      <c r="AO4" s="6"/>
      <c r="AP4" s="6"/>
      <c r="AQ4" s="6"/>
      <c r="AR4" s="6"/>
      <c r="AS4" s="6"/>
      <c r="AT4" s="6"/>
      <c r="AU4" s="6"/>
      <c r="AV4" s="6"/>
    </row>
    <row r="5" spans="1:48" ht="12.75" customHeight="1">
      <c r="A5" s="1" t="s">
        <v>226</v>
      </c>
      <c r="B5" s="1" t="s">
        <v>32</v>
      </c>
      <c r="C5" s="7" t="s">
        <v>120</v>
      </c>
      <c r="D5" s="7" t="s">
        <v>155</v>
      </c>
      <c r="E5" s="1">
        <v>3</v>
      </c>
      <c r="F5" s="1">
        <v>1</v>
      </c>
      <c r="G5" s="1">
        <v>25</v>
      </c>
      <c r="H5" s="1">
        <v>18</v>
      </c>
      <c r="I5" s="1">
        <v>20</v>
      </c>
      <c r="J5" s="1">
        <v>25</v>
      </c>
      <c r="K5" s="1">
        <v>25</v>
      </c>
      <c r="L5" s="1">
        <v>14</v>
      </c>
      <c r="M5" s="1">
        <v>25</v>
      </c>
      <c r="N5" s="1">
        <v>19</v>
      </c>
      <c r="O5" s="1">
        <v>0</v>
      </c>
      <c r="P5" s="1">
        <v>0</v>
      </c>
      <c r="Q5" s="1">
        <f>G5+I5+K5+M5+O5</f>
        <v>95</v>
      </c>
      <c r="R5" s="1">
        <f>H5+J5+L5+N5+P5</f>
        <v>76</v>
      </c>
      <c r="S5" s="5"/>
      <c r="T5" s="7">
        <v>3</v>
      </c>
      <c r="U5" s="7" t="s">
        <v>41</v>
      </c>
      <c r="V5" s="2">
        <f>AG5*3+AH5*3+AI5*2+AJ5*1</f>
        <v>6</v>
      </c>
      <c r="W5" s="1">
        <f>X5+Y5+Z5</f>
        <v>4</v>
      </c>
      <c r="X5" s="13">
        <f>COUNTIF($F$3,"=3")+COUNTIF($E$6,"=3")+COUNTIF($E$8,"=3")+COUNTIF($F$11,"=3")</f>
        <v>2</v>
      </c>
      <c r="Y5" s="13">
        <f>SUM(IF($F$3&lt;$E$3,1,0))+SUM(IF($E$6&lt;$F$6,1,0))+SUM(IF($E$8&lt;$F$8,1,0))+SUM(IF($F$11&lt;$E$11,1,0))</f>
        <v>2</v>
      </c>
      <c r="Z5" s="18"/>
      <c r="AA5" s="13">
        <f>$F$3+$E$6+$E$8+$F$11</f>
        <v>7</v>
      </c>
      <c r="AB5" s="13">
        <f>$E$3+$F$6+$F$8+$E$11</f>
        <v>6</v>
      </c>
      <c r="AC5" s="1">
        <v>1.67</v>
      </c>
      <c r="AD5" s="13">
        <f>$R$3+$Q$6+$Q$8+$R$11</f>
        <v>279</v>
      </c>
      <c r="AE5" s="13">
        <f>$Q$3+$R$6+$R$8+$Q$11</f>
        <v>264</v>
      </c>
      <c r="AF5" s="1">
        <v>1.61</v>
      </c>
      <c r="AG5" s="13">
        <f>SUM(IF(AND($F$3=3,$E$3=0),1,0))+SUM(IF(AND($E$6=3,$F$6=0),1,0))+SUM(IF(AND($E$8=3,$F$8=0),1,0))+SUM(IF(AND($F$11=3,$E$11=0),1,0))</f>
        <v>2</v>
      </c>
      <c r="AH5" s="13">
        <f>SUM(IF(AND($F$3=3,$E$3=1),1,0))+SUM(IF(AND($E$6=3,$F$6=1),1,0))+SUM(IF(AND($E$8=3,$F$8=1),1,0))+SUM(IF(AND($F$11=3,$E$11=1),1,0))</f>
        <v>0</v>
      </c>
      <c r="AI5" s="13">
        <f>SUM(IF(AND($F$3=3,$E$3=2),1,0))+SUM(IF(AND($E$6=3,$F$6=2),1,0))+SUM(IF(AND($E$8=3,$F$8=2),1,0))+SUM(IF(AND($F$11=3,$E$11=2),1,0))</f>
        <v>0</v>
      </c>
      <c r="AJ5" s="13">
        <f>SUM(IF(AND($F$3=2,$E$3=3),1,0))+SUM(IF(AND($E$6=2,$F$6=3),1,0))+SUM(IF(AND($E$8=2,$F$8=3),1,0))+SUM(IF(AND($F$11=2,$E$11=3),1,0))</f>
        <v>0</v>
      </c>
      <c r="AK5" s="13">
        <f>SUM(IF(AND($F$3=1,$E$3=3),1,0))+SUM(IF(AND($E$6=1,$F$6=3),1,0))+SUM(IF(AND($E$8=1,$F$8=3),1,0))+SUM(IF(AND($F$11=1,$E$11=3),1,0))</f>
        <v>1</v>
      </c>
      <c r="AL5" s="13">
        <f>SUM(IF(AND($F$3=0,$E$3=3),1,0))+SUM(IF(AND($E$6=0,$F$6=3),1,0))+SUM(IF(AND($E$8=0,$F$8=3),1,0))+SUM(IF(AND($F$11=0,$E$11=3),1,0))</f>
        <v>1</v>
      </c>
      <c r="AM5" s="5"/>
      <c r="AN5" s="6"/>
      <c r="AO5" s="6"/>
      <c r="AP5" s="6"/>
      <c r="AQ5" s="6"/>
      <c r="AR5" s="6"/>
      <c r="AS5" s="6"/>
      <c r="AT5" s="6"/>
      <c r="AU5" s="6"/>
      <c r="AV5" s="6"/>
    </row>
    <row r="6" spans="1:48" ht="12.75" customHeight="1">
      <c r="A6" s="1" t="s">
        <v>227</v>
      </c>
      <c r="B6" s="1" t="s">
        <v>32</v>
      </c>
      <c r="C6" s="77" t="s">
        <v>41</v>
      </c>
      <c r="D6" s="7" t="s">
        <v>39</v>
      </c>
      <c r="E6" s="1">
        <v>3</v>
      </c>
      <c r="F6" s="1">
        <v>0</v>
      </c>
      <c r="G6" s="1">
        <v>25</v>
      </c>
      <c r="H6" s="1">
        <v>14</v>
      </c>
      <c r="I6" s="1">
        <v>25</v>
      </c>
      <c r="J6" s="1">
        <v>17</v>
      </c>
      <c r="K6" s="1">
        <v>25</v>
      </c>
      <c r="L6" s="1">
        <v>17</v>
      </c>
      <c r="M6" s="1">
        <v>0</v>
      </c>
      <c r="N6" s="1">
        <v>0</v>
      </c>
      <c r="O6" s="1">
        <v>0</v>
      </c>
      <c r="P6" s="1">
        <v>0</v>
      </c>
      <c r="Q6" s="1">
        <f>G6+I6+K6+M6+O6</f>
        <v>75</v>
      </c>
      <c r="R6" s="1">
        <f>H6+J6+L6+N6+P6</f>
        <v>48</v>
      </c>
      <c r="S6" s="5"/>
      <c r="T6" s="7">
        <v>4</v>
      </c>
      <c r="U6" s="11" t="s">
        <v>155</v>
      </c>
      <c r="V6" s="2">
        <f>AG6*3+AH6*3+AI6*2+AJ6*1</f>
        <v>3</v>
      </c>
      <c r="W6" s="1">
        <f>X6+Y6+Z6</f>
        <v>4</v>
      </c>
      <c r="X6" s="13">
        <f>COUNTIF($E$3,"=3")+COUNTIF($F$5,"=3")+COUNTIF($F$7,"=3")+COUNTIF($E$9,"=3")</f>
        <v>1</v>
      </c>
      <c r="Y6" s="13">
        <f>SUM(IF($E$3&lt;$F$3,1,0))+SUM(IF($F$5&lt;$E$5,1,0))+SUM(IF($F$7&lt;$E$7,1,0))+SUM(IF($E$9&lt;$F$9,1,0))</f>
        <v>3</v>
      </c>
      <c r="Z6" s="18"/>
      <c r="AA6" s="13">
        <f>$E$3+$F$5+$F$7+$E$9</f>
        <v>4</v>
      </c>
      <c r="AB6" s="13">
        <f>$F$3+$E$5+$E$7+$F$9</f>
        <v>10</v>
      </c>
      <c r="AC6" s="1">
        <v>0.17</v>
      </c>
      <c r="AD6" s="13">
        <f>$Q$3+$R$5+$R$7+$Q$9</f>
        <v>262</v>
      </c>
      <c r="AE6" s="13">
        <f>$R$3+$Q$5+$Q$7+$R$9</f>
        <v>323</v>
      </c>
      <c r="AF6" s="1">
        <v>0.71</v>
      </c>
      <c r="AG6" s="13">
        <f>SUM(IF(AND($E$3=3,$F$3=0),1,0))+SUM(IF(AND($F$5=3,$E$5=0),1,0))+SUM(IF(AND($F$7=3,$E$7=0),1,0))+SUM(IF(AND($E$9=3,$F$9=0),1,0))</f>
        <v>0</v>
      </c>
      <c r="AH6" s="13">
        <f>SUM(IF(AND($E$3=3,$F$3=1),1,0))+SUM(IF(AND($F$5=3,$E$5=1),1,0))+SUM(IF(AND($F$7=3,$E$7=1),1,0))+SUM(IF(AND($E$9=3,$F$9=1),1,0))</f>
        <v>1</v>
      </c>
      <c r="AI6" s="13">
        <f>SUM(IF(AND($E$3=3,$F$3=2),1,0))+SUM(IF(AND($F$5=3,$E$5=2),1,0))+SUM(IF(AND($F$7=3,$E$7=2),1,0))+SUM(IF(AND($E$9=3,$F$9=2),1,0))</f>
        <v>0</v>
      </c>
      <c r="AJ6" s="13">
        <f>SUM(IF(AND($E$3=2,$F$3=3),1,0))+SUM(IF(AND($F$5=2,$E$5=3),1,0))+SUM(IF(AND($F$7=2,$E$7=3),1,0))+SUM(IF(AND($E$9=2,$F$9=3),1,0))</f>
        <v>0</v>
      </c>
      <c r="AK6" s="13">
        <f>SUM(IF(AND($E$3=1,$F$3=3),1,0))+SUM(IF(AND($F$5=1,$E$5=3),1,0))+SUM(IF(AND($F$7=1,$E$7=3),1,0))+SUM(IF(AND($E$9=1,$F$9=3),1,0))</f>
        <v>1</v>
      </c>
      <c r="AL6" s="13">
        <f>SUM(IF(AND($E$3=0,$F$3=3),1,0))+SUM(IF(AND($F$5=0,$E$5=3),1,0))+SUM(IF(AND($F$7=0,$E$7=3),1,0))+SUM(IF(AND($E$9=0,$F$9=3),1,0))</f>
        <v>2</v>
      </c>
      <c r="AM6" s="5"/>
      <c r="AN6" s="6"/>
      <c r="AO6" s="6"/>
      <c r="AP6" s="6"/>
      <c r="AQ6" s="6"/>
      <c r="AR6" s="6"/>
      <c r="AS6" s="6"/>
      <c r="AT6" s="6"/>
      <c r="AU6" s="6"/>
      <c r="AV6" s="6"/>
    </row>
    <row r="7" spans="1:48" ht="12.75" customHeight="1">
      <c r="A7" s="1" t="s">
        <v>228</v>
      </c>
      <c r="B7" s="1" t="s">
        <v>32</v>
      </c>
      <c r="C7" s="77" t="s">
        <v>42</v>
      </c>
      <c r="D7" s="7" t="s">
        <v>155</v>
      </c>
      <c r="E7" s="1">
        <v>3</v>
      </c>
      <c r="F7" s="1">
        <v>0</v>
      </c>
      <c r="G7" s="1">
        <v>25</v>
      </c>
      <c r="H7" s="1">
        <v>17</v>
      </c>
      <c r="I7" s="1">
        <v>25</v>
      </c>
      <c r="J7" s="1">
        <v>14</v>
      </c>
      <c r="K7" s="1">
        <v>25</v>
      </c>
      <c r="L7" s="1">
        <v>16</v>
      </c>
      <c r="M7" s="1">
        <v>0</v>
      </c>
      <c r="N7" s="1">
        <v>0</v>
      </c>
      <c r="O7" s="1">
        <v>0</v>
      </c>
      <c r="P7" s="1">
        <v>0</v>
      </c>
      <c r="Q7" s="1">
        <f>G7+I7+K7+M7+O7</f>
        <v>75</v>
      </c>
      <c r="R7" s="1">
        <f>H7+J7+L7+N7+P7</f>
        <v>47</v>
      </c>
      <c r="S7" s="5"/>
      <c r="T7" s="7">
        <v>5</v>
      </c>
      <c r="U7" s="7" t="s">
        <v>39</v>
      </c>
      <c r="V7" s="2">
        <f>AG7*3+AH7*3+AI7*2+AJ7*1</f>
        <v>0</v>
      </c>
      <c r="W7" s="1">
        <f>X7+Y7+Z7</f>
        <v>4</v>
      </c>
      <c r="X7" s="13">
        <f>COUNTIF($E$4,"=3")+COUNTIF($F$6,"=3")+COUNTIF($F$9,"=3")+COUNTIF($E$12,"=3")</f>
        <v>0</v>
      </c>
      <c r="Y7" s="13">
        <f>SUM(IF($E$4&lt;$F$4,1,0))+SUM(IF($F$6&lt;$E$6,1,0))+SUM(IF($F$9&lt;$E$9,1,0))+SUM(IF($E$12&lt;$F$12,1,0))</f>
        <v>4</v>
      </c>
      <c r="Z7" s="18"/>
      <c r="AA7" s="13">
        <f>$E$4+$F$6+$F$9+$E$12</f>
        <v>1</v>
      </c>
      <c r="AB7" s="13">
        <f>$F$4+$E$6+$E$9+$F$12</f>
        <v>12</v>
      </c>
      <c r="AC7" s="1">
        <v>0.11</v>
      </c>
      <c r="AD7" s="13">
        <f>$Q$4+$R$6+$R$9+$Q$12</f>
        <v>203</v>
      </c>
      <c r="AE7" s="13">
        <f>$R$4+$Q$6+$Q$9+$R$12</f>
        <v>319</v>
      </c>
      <c r="AF7" s="1">
        <v>0.59</v>
      </c>
      <c r="AG7" s="13">
        <f>SUM(IF(AND($E$4=3,$F$4=0),1,0))+SUM(IF(AND($F$6=3,$E$6=0),1,0))+SUM(IF(AND($F$9=3,$E$9=0),1,0))+SUM(IF(AND($E$12=3,$F$12=0),1,0))</f>
        <v>0</v>
      </c>
      <c r="AH7" s="13">
        <f>SUM(IF(AND($E$4=3,$F$4=1),1,0))+SUM(IF(AND($F$6=3,$E$6=1),1,0))+SUM(IF(AND($F$9=3,$E$9=1),1,0))+SUM(IF(AND($E$12=3,$F$12=1),1,0))</f>
        <v>0</v>
      </c>
      <c r="AI7" s="13">
        <f>SUM(IF(AND($E$4=3,$F$4=2),1,0))+SUM(IF(AND($F$6=3,$E$6=2),1,0))+SUM(IF(AND($F$9=3,$E$9=2),1,0))+SUM(IF(AND($E$12=3,$F$12=2),1,0))</f>
        <v>0</v>
      </c>
      <c r="AJ7" s="13">
        <f>SUM(IF(AND($E$4=2,$F$4=3),1,0))+SUM(IF(AND($F$6=2,$E$6=3),1,0))+SUM(IF(AND($F$9=2,$E$9=3),1,0))+SUM(IF(AND($E$12=2,$F$12=3),1,0))</f>
        <v>0</v>
      </c>
      <c r="AK7" s="13">
        <f>SUM(IF(AND($E$4=1,$F$4=3),1,0))+SUM(IF(AND($F$6=1,$E$6=3),1,0))+SUM(IF(AND($F$9=1,$E$9=3),1,0))+SUM(IF(AND($E$12=1,$F$12=3),1,0))</f>
        <v>1</v>
      </c>
      <c r="AL7" s="13">
        <f>SUM(IF(AND($E$4=0,$F$4=3),1,0))+SUM(IF(AND($F$6=0,$E$6=3),1,0))+SUM(IF(AND($F$9=0,$E$9=3),1,0))+SUM(IF(AND($E$12=0,$F$12=3),1,0))</f>
        <v>3</v>
      </c>
      <c r="AM7" s="5"/>
      <c r="AN7" s="6"/>
      <c r="AO7" s="6"/>
      <c r="AP7" s="6"/>
      <c r="AQ7" s="6"/>
      <c r="AR7" s="6"/>
      <c r="AS7" s="6"/>
      <c r="AT7" s="6"/>
      <c r="AU7" s="6"/>
      <c r="AV7" s="6"/>
    </row>
    <row r="8" spans="1:48" ht="12.75" customHeight="1">
      <c r="A8" s="1" t="s">
        <v>229</v>
      </c>
      <c r="B8" s="1" t="s">
        <v>32</v>
      </c>
      <c r="C8" s="77" t="s">
        <v>41</v>
      </c>
      <c r="D8" s="7" t="s">
        <v>120</v>
      </c>
      <c r="E8" s="1">
        <v>0</v>
      </c>
      <c r="F8" s="1">
        <v>3</v>
      </c>
      <c r="G8" s="1">
        <v>17</v>
      </c>
      <c r="H8" s="1">
        <v>25</v>
      </c>
      <c r="I8" s="1">
        <v>18</v>
      </c>
      <c r="J8" s="1">
        <v>25</v>
      </c>
      <c r="K8" s="1">
        <v>13</v>
      </c>
      <c r="L8" s="1">
        <v>25</v>
      </c>
      <c r="M8" s="1">
        <v>0</v>
      </c>
      <c r="N8" s="1">
        <v>0</v>
      </c>
      <c r="O8" s="1">
        <v>0</v>
      </c>
      <c r="P8" s="1">
        <v>0</v>
      </c>
      <c r="Q8" s="1">
        <f>G8+I8+K8+M8+O8</f>
        <v>48</v>
      </c>
      <c r="R8" s="1">
        <f>H8+J8+L8+N8+P8</f>
        <v>75</v>
      </c>
      <c r="S8" s="5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5"/>
      <c r="AN8" s="6"/>
      <c r="AO8" s="6"/>
      <c r="AP8" s="6"/>
      <c r="AQ8" s="6"/>
      <c r="AR8" s="6"/>
      <c r="AS8" s="6"/>
      <c r="AT8" s="6"/>
      <c r="AU8" s="6"/>
      <c r="AV8" s="6"/>
    </row>
    <row r="9" spans="1:48" ht="12.75" customHeight="1">
      <c r="A9" s="1" t="s">
        <v>230</v>
      </c>
      <c r="B9" s="1" t="s">
        <v>32</v>
      </c>
      <c r="C9" s="7" t="s">
        <v>155</v>
      </c>
      <c r="D9" s="77" t="s">
        <v>39</v>
      </c>
      <c r="E9" s="1">
        <v>3</v>
      </c>
      <c r="F9" s="1">
        <v>1</v>
      </c>
      <c r="G9" s="1">
        <v>25</v>
      </c>
      <c r="H9" s="1">
        <v>20</v>
      </c>
      <c r="I9" s="1">
        <v>19</v>
      </c>
      <c r="J9" s="1">
        <v>25</v>
      </c>
      <c r="K9" s="1">
        <v>25</v>
      </c>
      <c r="L9" s="1">
        <v>13</v>
      </c>
      <c r="M9" s="1">
        <v>25</v>
      </c>
      <c r="N9" s="1">
        <v>20</v>
      </c>
      <c r="O9" s="1">
        <v>0</v>
      </c>
      <c r="P9" s="1">
        <v>0</v>
      </c>
      <c r="Q9" s="1">
        <f>G9+I9+K9+M9+O9</f>
        <v>94</v>
      </c>
      <c r="R9" s="1">
        <f>H9+J9+L9+N9+P9</f>
        <v>78</v>
      </c>
      <c r="S9" s="5"/>
      <c r="T9" s="3"/>
      <c r="U9" s="4" t="s">
        <v>29</v>
      </c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5"/>
      <c r="AN9" s="6"/>
      <c r="AO9" s="6"/>
      <c r="AP9" s="6"/>
      <c r="AQ9" s="6"/>
      <c r="AR9" s="6"/>
      <c r="AS9" s="6"/>
      <c r="AT9" s="6"/>
      <c r="AU9" s="6"/>
      <c r="AV9" s="6"/>
    </row>
    <row r="10" spans="1:48" ht="12.75" customHeight="1">
      <c r="A10" s="1" t="s">
        <v>231</v>
      </c>
      <c r="B10" s="1" t="s">
        <v>32</v>
      </c>
      <c r="C10" s="7" t="s">
        <v>120</v>
      </c>
      <c r="D10" s="77" t="s">
        <v>42</v>
      </c>
      <c r="E10" s="1">
        <v>3</v>
      </c>
      <c r="F10" s="1">
        <v>0</v>
      </c>
      <c r="G10" s="1">
        <v>25</v>
      </c>
      <c r="H10" s="1">
        <v>15</v>
      </c>
      <c r="I10" s="1">
        <v>25</v>
      </c>
      <c r="J10" s="1">
        <v>15</v>
      </c>
      <c r="K10" s="1">
        <v>25</v>
      </c>
      <c r="L10" s="1">
        <v>20</v>
      </c>
      <c r="M10" s="1">
        <v>0</v>
      </c>
      <c r="N10" s="1">
        <v>0</v>
      </c>
      <c r="O10" s="1">
        <v>0</v>
      </c>
      <c r="P10" s="1">
        <v>0</v>
      </c>
      <c r="Q10" s="1">
        <f>G10+I10+K10+M10+O10</f>
        <v>75</v>
      </c>
      <c r="R10" s="1">
        <f>H10+J10+L10+N10+P10</f>
        <v>50</v>
      </c>
      <c r="S10" s="5"/>
      <c r="T10" s="3"/>
      <c r="U10" s="7" t="s">
        <v>120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5"/>
      <c r="AN10" s="6"/>
      <c r="AO10" s="6"/>
      <c r="AP10" s="6"/>
      <c r="AQ10" s="6"/>
      <c r="AR10" s="6"/>
      <c r="AS10" s="6"/>
      <c r="AT10" s="6"/>
      <c r="AU10" s="6"/>
      <c r="AV10" s="6"/>
    </row>
    <row r="11" spans="1:48" ht="12.75" customHeight="1">
      <c r="A11" s="1" t="s">
        <v>232</v>
      </c>
      <c r="B11" s="1" t="s">
        <v>32</v>
      </c>
      <c r="C11" s="7" t="s">
        <v>42</v>
      </c>
      <c r="D11" s="77" t="s">
        <v>41</v>
      </c>
      <c r="E11" s="1">
        <v>3</v>
      </c>
      <c r="F11" s="1">
        <v>1</v>
      </c>
      <c r="G11" s="1">
        <v>25</v>
      </c>
      <c r="H11" s="1">
        <v>14</v>
      </c>
      <c r="I11" s="1">
        <v>25</v>
      </c>
      <c r="J11" s="1">
        <v>15</v>
      </c>
      <c r="K11" s="1">
        <v>17</v>
      </c>
      <c r="L11" s="1">
        <v>25</v>
      </c>
      <c r="M11" s="1">
        <v>29</v>
      </c>
      <c r="N11" s="1">
        <v>27</v>
      </c>
      <c r="O11" s="1">
        <v>0</v>
      </c>
      <c r="P11" s="1">
        <v>0</v>
      </c>
      <c r="Q11" s="1">
        <f>G11+I11+K11+M11+O11</f>
        <v>96</v>
      </c>
      <c r="R11" s="1">
        <f>H11+J11+L11+N11+P11</f>
        <v>81</v>
      </c>
      <c r="S11" s="5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5"/>
      <c r="AN11" s="6"/>
      <c r="AO11" s="6"/>
      <c r="AP11" s="6"/>
      <c r="AQ11" s="6"/>
      <c r="AR11" s="6"/>
      <c r="AS11" s="6"/>
      <c r="AT11" s="6"/>
      <c r="AU11" s="6"/>
      <c r="AV11" s="6"/>
    </row>
    <row r="12" spans="1:48" ht="12.75" customHeight="1">
      <c r="A12" s="1" t="s">
        <v>233</v>
      </c>
      <c r="B12" s="1" t="s">
        <v>32</v>
      </c>
      <c r="C12" s="77" t="s">
        <v>39</v>
      </c>
      <c r="D12" s="7" t="s">
        <v>120</v>
      </c>
      <c r="E12" s="1">
        <v>0</v>
      </c>
      <c r="F12" s="1">
        <v>3</v>
      </c>
      <c r="G12" s="1">
        <v>11</v>
      </c>
      <c r="H12" s="1">
        <v>25</v>
      </c>
      <c r="I12" s="1">
        <v>12</v>
      </c>
      <c r="J12" s="1">
        <v>25</v>
      </c>
      <c r="K12" s="1">
        <v>14</v>
      </c>
      <c r="L12" s="1">
        <v>25</v>
      </c>
      <c r="M12" s="1">
        <v>0</v>
      </c>
      <c r="N12" s="1">
        <v>0</v>
      </c>
      <c r="O12" s="1">
        <v>0</v>
      </c>
      <c r="P12" s="1">
        <v>0</v>
      </c>
      <c r="Q12" s="1">
        <f>G12+I12+K12+M12+O12</f>
        <v>37</v>
      </c>
      <c r="R12" s="1">
        <f>H12+J12+L12+N12+P12</f>
        <v>75</v>
      </c>
      <c r="S12" s="5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5"/>
      <c r="AN12" s="6"/>
      <c r="AO12" s="6"/>
      <c r="AP12" s="6"/>
      <c r="AQ12" s="6"/>
      <c r="AR12" s="6"/>
      <c r="AS12" s="6"/>
      <c r="AT12" s="6"/>
      <c r="AU12" s="6"/>
      <c r="AV12" s="6"/>
    </row>
    <row r="13" spans="1:48" ht="12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6"/>
      <c r="AN13" s="6"/>
      <c r="AO13" s="6"/>
      <c r="AP13" s="6"/>
      <c r="AQ13" s="6"/>
      <c r="AR13" s="6"/>
      <c r="AS13" s="6"/>
      <c r="AT13" s="6"/>
      <c r="AU13" s="6"/>
      <c r="AV13" s="6"/>
    </row>
    <row r="14" spans="1:48" ht="12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6"/>
      <c r="AN14" s="6"/>
      <c r="AO14" s="6"/>
      <c r="AP14" s="6"/>
      <c r="AQ14" s="6"/>
      <c r="AR14" s="6"/>
      <c r="AS14" s="6"/>
      <c r="AT14" s="6"/>
      <c r="AU14" s="6"/>
      <c r="AV14" s="6"/>
    </row>
    <row r="15" spans="1:48" ht="12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6"/>
      <c r="AN15" s="6"/>
      <c r="AO15" s="6"/>
      <c r="AP15" s="6"/>
      <c r="AQ15" s="6"/>
      <c r="AR15" s="6"/>
      <c r="AS15" s="6"/>
      <c r="AT15" s="6"/>
      <c r="AU15" s="6"/>
      <c r="AV15" s="6"/>
    </row>
    <row r="16" spans="1:48" ht="12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6"/>
      <c r="AN16" s="6"/>
      <c r="AO16" s="6"/>
      <c r="AP16" s="6"/>
      <c r="AQ16" s="6"/>
      <c r="AR16" s="6"/>
      <c r="AS16" s="6"/>
      <c r="AT16" s="6"/>
      <c r="AU16" s="6"/>
      <c r="AV16" s="6"/>
    </row>
    <row r="17" spans="1:48" ht="12.7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6"/>
      <c r="AN17" s="6"/>
      <c r="AO17" s="6"/>
      <c r="AP17" s="6"/>
      <c r="AQ17" s="6"/>
      <c r="AR17" s="6"/>
      <c r="AS17" s="6"/>
      <c r="AT17" s="6"/>
      <c r="AU17" s="6"/>
      <c r="AV17" s="6"/>
    </row>
    <row r="18" spans="1:48" ht="12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6"/>
      <c r="AN18" s="6"/>
      <c r="AO18" s="6"/>
      <c r="AP18" s="6"/>
      <c r="AQ18" s="6"/>
      <c r="AR18" s="6"/>
      <c r="AS18" s="6"/>
      <c r="AT18" s="6"/>
      <c r="AU18" s="6"/>
      <c r="AV18" s="6"/>
    </row>
    <row r="19" spans="1:48" ht="12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6"/>
      <c r="AN19" s="6"/>
      <c r="AO19" s="6"/>
      <c r="AP19" s="6"/>
      <c r="AQ19" s="6"/>
      <c r="AR19" s="6"/>
      <c r="AS19" s="6"/>
      <c r="AT19" s="6"/>
      <c r="AU19" s="6"/>
      <c r="AV19" s="6"/>
    </row>
    <row r="20" spans="1:48" ht="12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6"/>
      <c r="AN20" s="6"/>
      <c r="AO20" s="6"/>
      <c r="AP20" s="6"/>
      <c r="AQ20" s="6"/>
      <c r="AR20" s="6"/>
      <c r="AS20" s="6"/>
      <c r="AT20" s="6"/>
      <c r="AU20" s="6"/>
      <c r="AV20" s="6"/>
    </row>
    <row r="21" spans="1:48" ht="12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6"/>
      <c r="AN21" s="6"/>
      <c r="AO21" s="6"/>
      <c r="AP21" s="6"/>
      <c r="AQ21" s="6"/>
      <c r="AR21" s="6"/>
      <c r="AS21" s="6"/>
      <c r="AT21" s="6"/>
      <c r="AU21" s="6"/>
      <c r="AV21" s="6"/>
    </row>
  </sheetData>
  <sheetProtection/>
  <mergeCells count="14">
    <mergeCell ref="W1:Z1"/>
    <mergeCell ref="AA1:AC1"/>
    <mergeCell ref="AD1:AF1"/>
    <mergeCell ref="AG1:AL1"/>
    <mergeCell ref="O2:P2"/>
    <mergeCell ref="Q2:R2"/>
    <mergeCell ref="C1:D1"/>
    <mergeCell ref="E1:F1"/>
    <mergeCell ref="G1:R1"/>
    <mergeCell ref="E2:F2"/>
    <mergeCell ref="G2:H2"/>
    <mergeCell ref="I2:J2"/>
    <mergeCell ref="K2:L2"/>
    <mergeCell ref="M2:N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V21"/>
  <sheetViews>
    <sheetView showGridLines="0" zoomScalePageLayoutView="0" workbookViewId="0" topLeftCell="A1">
      <selection activeCell="A1" sqref="A1"/>
    </sheetView>
  </sheetViews>
  <sheetFormatPr defaultColWidth="14.421875" defaultRowHeight="15" customHeight="1"/>
  <cols>
    <col min="1" max="1" width="7.28125" style="0" customWidth="1"/>
    <col min="2" max="2" width="11.7109375" style="0" customWidth="1"/>
    <col min="3" max="3" width="25.8515625" style="0" customWidth="1"/>
    <col min="4" max="4" width="26.8515625" style="0" customWidth="1"/>
    <col min="5" max="18" width="5.7109375" style="0" customWidth="1"/>
    <col min="19" max="19" width="4.140625" style="0" customWidth="1"/>
    <col min="20" max="20" width="2.8515625" style="0" customWidth="1"/>
    <col min="21" max="21" width="14.421875" style="0" customWidth="1"/>
    <col min="22" max="22" width="7.57421875" style="0" customWidth="1"/>
    <col min="23" max="23" width="5.421875" style="0" customWidth="1"/>
    <col min="24" max="24" width="5.00390625" style="0" customWidth="1"/>
    <col min="25" max="25" width="5.140625" style="0" customWidth="1"/>
    <col min="26" max="26" width="5.00390625" style="0" customWidth="1"/>
    <col min="27" max="28" width="5.140625" style="0" customWidth="1"/>
    <col min="29" max="29" width="5.8515625" style="0" customWidth="1"/>
    <col min="30" max="30" width="5.421875" style="0" customWidth="1"/>
    <col min="31" max="31" width="5.28125" style="0" customWidth="1"/>
    <col min="32" max="38" width="5.7109375" style="0" customWidth="1"/>
    <col min="39" max="48" width="11.421875" style="0" customWidth="1"/>
  </cols>
  <sheetData>
    <row r="1" spans="1:48" ht="12.75" customHeight="1">
      <c r="A1" s="1"/>
      <c r="B1" s="1"/>
      <c r="C1" s="159" t="s">
        <v>0</v>
      </c>
      <c r="D1" s="143"/>
      <c r="E1" s="158"/>
      <c r="F1" s="143"/>
      <c r="G1" s="159" t="s">
        <v>1</v>
      </c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3"/>
      <c r="S1" s="3"/>
      <c r="T1" s="4"/>
      <c r="U1" s="4" t="s">
        <v>3</v>
      </c>
      <c r="V1" s="4" t="s">
        <v>3</v>
      </c>
      <c r="W1" s="157" t="s">
        <v>4</v>
      </c>
      <c r="X1" s="142"/>
      <c r="Y1" s="142"/>
      <c r="Z1" s="143"/>
      <c r="AA1" s="156" t="s">
        <v>5</v>
      </c>
      <c r="AB1" s="142"/>
      <c r="AC1" s="143"/>
      <c r="AD1" s="156" t="s">
        <v>6</v>
      </c>
      <c r="AE1" s="142"/>
      <c r="AF1" s="143"/>
      <c r="AG1" s="169" t="s">
        <v>7</v>
      </c>
      <c r="AH1" s="170"/>
      <c r="AI1" s="170"/>
      <c r="AJ1" s="170"/>
      <c r="AK1" s="170"/>
      <c r="AL1" s="171"/>
      <c r="AM1" s="5"/>
      <c r="AN1" s="6"/>
      <c r="AO1" s="6"/>
      <c r="AP1" s="6"/>
      <c r="AQ1" s="6"/>
      <c r="AR1" s="6"/>
      <c r="AS1" s="6"/>
      <c r="AT1" s="6"/>
      <c r="AU1" s="6"/>
      <c r="AV1" s="6"/>
    </row>
    <row r="2" spans="1:48" ht="12.75" customHeight="1">
      <c r="A2" s="7" t="s">
        <v>8</v>
      </c>
      <c r="B2" s="7" t="s">
        <v>9</v>
      </c>
      <c r="C2" s="7" t="s">
        <v>10</v>
      </c>
      <c r="D2" s="7" t="s">
        <v>11</v>
      </c>
      <c r="E2" s="159" t="s">
        <v>5</v>
      </c>
      <c r="F2" s="143"/>
      <c r="G2" s="160">
        <v>1</v>
      </c>
      <c r="H2" s="143"/>
      <c r="I2" s="159">
        <v>2</v>
      </c>
      <c r="J2" s="143"/>
      <c r="K2" s="160">
        <v>3</v>
      </c>
      <c r="L2" s="143"/>
      <c r="M2" s="159">
        <v>4</v>
      </c>
      <c r="N2" s="143"/>
      <c r="O2" s="160">
        <v>5</v>
      </c>
      <c r="P2" s="143"/>
      <c r="Q2" s="159" t="s">
        <v>12</v>
      </c>
      <c r="R2" s="143"/>
      <c r="S2" s="3"/>
      <c r="T2" s="4" t="s">
        <v>13</v>
      </c>
      <c r="U2" s="4" t="s">
        <v>14</v>
      </c>
      <c r="V2" s="4" t="s">
        <v>6</v>
      </c>
      <c r="W2" s="8" t="s">
        <v>12</v>
      </c>
      <c r="X2" s="9" t="s">
        <v>15</v>
      </c>
      <c r="Y2" s="9" t="s">
        <v>16</v>
      </c>
      <c r="Z2" s="4" t="s">
        <v>17</v>
      </c>
      <c r="AA2" s="9" t="s">
        <v>15</v>
      </c>
      <c r="AB2" s="4" t="s">
        <v>16</v>
      </c>
      <c r="AC2" s="21" t="s">
        <v>18</v>
      </c>
      <c r="AD2" s="9" t="s">
        <v>15</v>
      </c>
      <c r="AE2" s="4" t="s">
        <v>16</v>
      </c>
      <c r="AF2" s="21" t="s">
        <v>18</v>
      </c>
      <c r="AG2" s="114" t="s">
        <v>19</v>
      </c>
      <c r="AH2" s="114" t="s">
        <v>20</v>
      </c>
      <c r="AI2" s="114" t="s">
        <v>21</v>
      </c>
      <c r="AJ2" s="121" t="s">
        <v>22</v>
      </c>
      <c r="AK2" s="114" t="s">
        <v>23</v>
      </c>
      <c r="AL2" s="114" t="s">
        <v>24</v>
      </c>
      <c r="AM2" s="6"/>
      <c r="AN2" s="6"/>
      <c r="AO2" s="6"/>
      <c r="AP2" s="6"/>
      <c r="AQ2" s="6"/>
      <c r="AR2" s="6"/>
      <c r="AS2" s="6"/>
      <c r="AT2" s="6"/>
      <c r="AU2" s="6"/>
      <c r="AV2" s="6"/>
    </row>
    <row r="3" spans="1:48" ht="12.75" customHeight="1">
      <c r="A3" s="1" t="s">
        <v>234</v>
      </c>
      <c r="B3" s="1" t="s">
        <v>32</v>
      </c>
      <c r="C3" s="7" t="s">
        <v>41</v>
      </c>
      <c r="D3" s="7" t="s">
        <v>42</v>
      </c>
      <c r="E3" s="1">
        <v>1</v>
      </c>
      <c r="F3" s="1">
        <v>3</v>
      </c>
      <c r="G3" s="1">
        <v>25</v>
      </c>
      <c r="H3" s="1">
        <v>21</v>
      </c>
      <c r="I3" s="1">
        <v>11</v>
      </c>
      <c r="J3" s="1">
        <v>25</v>
      </c>
      <c r="K3" s="1">
        <v>19</v>
      </c>
      <c r="L3" s="1">
        <v>25</v>
      </c>
      <c r="M3" s="1">
        <v>16</v>
      </c>
      <c r="N3" s="1">
        <v>25</v>
      </c>
      <c r="O3" s="1">
        <v>0</v>
      </c>
      <c r="P3" s="1">
        <v>0</v>
      </c>
      <c r="Q3" s="1">
        <f>G3+I3+K3+M3+O3</f>
        <v>71</v>
      </c>
      <c r="R3" s="1">
        <f>H3+J3+L3+N3+P3</f>
        <v>96</v>
      </c>
      <c r="S3" s="5"/>
      <c r="T3" s="7">
        <v>1</v>
      </c>
      <c r="U3" s="11" t="s">
        <v>42</v>
      </c>
      <c r="V3" s="2">
        <f>AG3*3+AH3*3+AI3*2+AJ3*1</f>
        <v>22</v>
      </c>
      <c r="W3" s="1">
        <f>X3+Y3+Z3</f>
        <v>8</v>
      </c>
      <c r="X3" s="13">
        <f>COUNTIF($F$3,"=3")+COUNTIF($E$4,"=3")+COUNTIF($E$6,"=3")+COUNTIF($F$7,"=3")+COUNTIF($F$9,"=3")+COUNTIF($E$10,"=3")+COUNTIF($E$12,"=3")+COUNTIF($F$13,"=3")</f>
        <v>8</v>
      </c>
      <c r="Y3" s="13">
        <f>SUM(IF($F$3&lt;$E$3,1,0))+SUM(IF($E$4&lt;$F$4,1,0))+SUM(IF($E$6&lt;$F$6,1,0))+SUM(IF($F$7&lt;$E$7,1,0))+SUM(IF($F$9&lt;$E$9,1,0))+SUM(IF($E$10&lt;$F$10,1,0))+SUM(IF($E$12&lt;$F$12,1,0))+SUM(IF($F$13&lt;$E$13,1,0))</f>
        <v>0</v>
      </c>
      <c r="Z3" s="18"/>
      <c r="AA3" s="13">
        <f>$F$3+$E$4+$E$6+$F$7+$F$9+$E$10+$E$12+$F$13</f>
        <v>24</v>
      </c>
      <c r="AB3" s="13">
        <f>$E$3+$F$4+$F$6+$E$7+$E$9+$F$10</f>
        <v>5</v>
      </c>
      <c r="AC3" s="23">
        <f>IF(AB3=0,"MAX",AA3/AB3)</f>
        <v>4.8</v>
      </c>
      <c r="AD3" s="13">
        <f>$R$3+$Q$4+$Q$6+$R$7+$R$9+$Q$10+$Q$12+$R$13</f>
        <v>695</v>
      </c>
      <c r="AE3" s="13">
        <f>$Q$3+$R$4+$R$6+$Q$7+$Q$9+$R$10+$R$12+$R$13</f>
        <v>565</v>
      </c>
      <c r="AF3" s="23">
        <f>IF(AE3=0,"MAX",AD3/AE3)</f>
        <v>1.2300884955752212</v>
      </c>
      <c r="AG3" s="13">
        <f>SUM(IF(AND($F$3=3,$E$3=0),1,0))+SUM(IF(AND($E$4=3,$F$4=0),1,0))+SUM(IF(AND($E$6=3,$F$6=0),1,0))+SUM(IF(AND($F$7=3,$E$7=0),1,0))+SUM(IF(AND($F$9=3,$E$9=0),1,0))+SUM(IF(AND($E$10=3,$F$10=0),1,0))+SUM(IF(AND($E$12=3,$F$12=0),1,0))+SUM(IF(AND($F$13=3,$E$13=0),1,0))</f>
        <v>5</v>
      </c>
      <c r="AH3" s="13">
        <f>SUM(IF(AND($F$3=3,$E$3=1),1,0))+SUM(IF(AND($E$4=3,$F$4=1),1,0))+SUM(IF(AND($E$6=3,$F$6=1),1,0))+SUM(IF(AND($F$7=3,$E$7=1),1,0))+SUM(IF(AND($F$9=3,$E$9=1),1,0))+SUM(IF(AND($E$10=3,$F$10=1),1,0))+SUM(IF(AND($E$12=3,$F$12=1),1,0))+SUM(IF(AND($F$13=3,$E$13=1),1,0))</f>
        <v>1</v>
      </c>
      <c r="AI3" s="13">
        <f>SUM(IF(AND($F$3=3,$E$3=2),1,0))+SUM(IF(AND($E$4=3,$F$4=2),1,0))+SUM(IF(AND($E$6=3,$F$6=2),1,0))+SUM(IF(AND($F$7=3,$E$7=2),1,0))+SUM(IF(AND($F$9=3,$E$9=2),1,0))+SUM(IF(AND($E$10=3,$F$10=2),1,0))+SUM(IF(AND($E$12=3,$F$12=2),1,0))+SUM(IF(AND($F$13=3,$E$13=2),1,0))</f>
        <v>2</v>
      </c>
      <c r="AJ3" s="13">
        <f>SUM(IF(AND($F$3=2,$E$3=3),1,0))+SUM(IF(AND($E$4=2,$F$4=3),1,0))+SUM(IF(AND($E$6=2,$F$6=3),1,0))+SUM(IF(AND($F$7=2,$E$7=3),1,0))+SUM(IF(AND($F$9=2,$E$9=3),1,0))+SUM(IF(AND($E$10=2,$F$10=3),1,0))+SUM(IF(AND($E$12=2,$F$12=3),1,0))+SUM(IF(AND($F$13=2,$E$13=3),1,0))</f>
        <v>0</v>
      </c>
      <c r="AK3" s="13">
        <f>SUM(IF(AND($F$3=1,$E$3=3),1,0))+SUM(IF(AND($E$4=1,$F$4=3),1,0))+SUM(IF(AND($E$6=1,$F$6=3),1,0))+SUM(IF(AND($F$7=1,$E$7=3),1,0))+SUM(IF(AND($F$9=1,$E$9=3),1,0))+SUM(IF(AND($E$10=1,$F$10=3),1,0))+SUM(IF(AND($E$12=1,$F$12=3),1,0))+SUM(IF(AND($F$13=1,$E$13=3),1,0))</f>
        <v>0</v>
      </c>
      <c r="AL3" s="13">
        <f>SUM(IF(AND($F$3=0,$E$3=3),1,0))+SUM(IF(AND($E$4=0,$F$4=3),1,0))+SUM(IF(AND($E$6=0,$F$6=3),1,0))+SUM(IF(AND($F$7=0,$E$7=3),1,0))+SUM(IF(AND($F$9=0,$E$9=3),1,0))+SUM(IF(AND($E$10=0,$F$10=3),1,0))+SUM(IF(AND($E$12=0,$F$12=3),1,0))+SUM(IF(AND($F$13=0,$E$13=3),1,0))</f>
        <v>0</v>
      </c>
      <c r="AM3" s="6"/>
      <c r="AN3" s="6"/>
      <c r="AO3" s="6"/>
      <c r="AP3" s="6"/>
      <c r="AQ3" s="6"/>
      <c r="AR3" s="6"/>
      <c r="AS3" s="6"/>
      <c r="AT3" s="6"/>
      <c r="AU3" s="6"/>
      <c r="AV3" s="6"/>
    </row>
    <row r="4" spans="1:48" ht="12.75" customHeight="1">
      <c r="A4" s="1" t="s">
        <v>235</v>
      </c>
      <c r="B4" s="1" t="s">
        <v>32</v>
      </c>
      <c r="C4" s="7" t="s">
        <v>42</v>
      </c>
      <c r="D4" s="7" t="s">
        <v>33</v>
      </c>
      <c r="E4" s="1">
        <v>3</v>
      </c>
      <c r="F4" s="1">
        <v>2</v>
      </c>
      <c r="G4" s="1">
        <v>25</v>
      </c>
      <c r="H4" s="1">
        <v>13</v>
      </c>
      <c r="I4" s="1">
        <v>30</v>
      </c>
      <c r="J4" s="1">
        <v>28</v>
      </c>
      <c r="K4" s="1">
        <v>20</v>
      </c>
      <c r="L4" s="1">
        <v>25</v>
      </c>
      <c r="M4" s="1">
        <v>21</v>
      </c>
      <c r="N4" s="1">
        <v>25</v>
      </c>
      <c r="O4" s="1">
        <v>15</v>
      </c>
      <c r="P4" s="1">
        <v>10</v>
      </c>
      <c r="Q4" s="1">
        <f>G4+I4+K4+M4+O4</f>
        <v>111</v>
      </c>
      <c r="R4" s="1">
        <f>H4+J4+L4+N4+P4</f>
        <v>101</v>
      </c>
      <c r="S4" s="5"/>
      <c r="T4" s="7">
        <v>2</v>
      </c>
      <c r="U4" s="11" t="s">
        <v>33</v>
      </c>
      <c r="V4" s="2">
        <f>AG4*3+AH4*3+AI4*2+AJ4*1</f>
        <v>11</v>
      </c>
      <c r="W4" s="1">
        <f>X4+Y4+Z4</f>
        <v>7</v>
      </c>
      <c r="X4" s="13">
        <f>COUNTIF($F$4,"=3")+COUNTIF($E$5,"=3")+COUNTIF($E$7,"=3")+COUNTIF($F$8,"=3")+COUNTIF($F$10,"=3")+COUNTIF($E$11,"=3")+COUNTIF($E$13,"=3")+COUNTIF($F$14,"=3")</f>
        <v>3</v>
      </c>
      <c r="Y4" s="13">
        <f>SUM(IF($F$4&lt;$E$4,1,0))+SUM(IF($E$5&lt;$F$5,1,0))+SUM(IF($E$7&lt;$F$7,1,0))+SUM(IF($F$8&lt;$E$8,1,0))+SUM(IF($F$10&lt;$E$10,1,0))+SUM(IF($E$11&lt;$F$11,1,0))+SUM(IF($E$13&lt;$F$13,1,0))+SUM(IF($F$14&lt;$E$14,1,0))</f>
        <v>4</v>
      </c>
      <c r="Z4" s="18"/>
      <c r="AA4" s="13">
        <f>$F$4+$E$5+$E$7+$F$8+$F$10+$E$11+$E$13+$F$14</f>
        <v>13</v>
      </c>
      <c r="AB4" s="13">
        <f>$E$4+$F$5+$F$7+$E$8+$E$10+$F$11</f>
        <v>9</v>
      </c>
      <c r="AC4" s="23">
        <f>IF(AB4=0,"MAX",AA4/AB4)</f>
        <v>1.4444444444444444</v>
      </c>
      <c r="AD4" s="13">
        <f>$R$4+$Q$5+$Q$7+$R$8+$R$10+$Q$11+$Q$13+$R$14</f>
        <v>549</v>
      </c>
      <c r="AE4" s="13">
        <f>$Q$4+$R$5+$R$7+$Q$8+$Q$10+$R$11+$R$13+$Q$14</f>
        <v>512</v>
      </c>
      <c r="AF4" s="23">
        <f>IF(AE4=0,"MAX",AD4/AE4)</f>
        <v>1.072265625</v>
      </c>
      <c r="AG4" s="13">
        <f>SUM(IF(AND($F$4=3,$E$4=0),1,0))+SUM(IF(AND($E$5=3,$F$5=0),1,0))+SUM(IF(AND($E$7=3,$F$7=0),1,0))+SUM(IF(AND($F$8=3,$E$8=0),1,0))+SUM(IF(AND($F$10=3,$E$10=0),1,0))+SUM(IF(AND($E$11=3,$F$11=0),1,0))+SUM(IF(AND($E$13=3,$F$13=0),1,0))+SUM(IF(AND($F$14=3,$E$14=0),1,0))</f>
        <v>3</v>
      </c>
      <c r="AH4" s="13">
        <f>SUM(IF(AND($F$4=3,$E$4=1),1,0))+SUM(IF(AND($E$5=3,$F$5=1),1,0))+SUM(IF(AND($E$7=3,$F$7=1),1,0))+SUM(IF(AND($F$8=3,$E$8=1),1,0))+SUM(IF(AND($F$10=3,$E$10=1),1,0))+SUM(IF(AND($E$11=3,$F$11=1),1,0))+SUM(IF(AND($E$13=3,$F$13=1),1,0))+SUM(IF(AND($F$14=3,$E$14=1),1,0))</f>
        <v>0</v>
      </c>
      <c r="AI4" s="13">
        <f>SUM(IF(AND($F$4=3,$E$4=2),1,0))+SUM(IF(AND($E$5=3,$F$5=2),1,0))+SUM(IF(AND($E$7=3,$F$7=2),1,0))+SUM(IF(AND($F$8=3,$E$8=2),1,0))+SUM(IF(AND($F$10=3,$E$10=2),1,0))+SUM(IF(AND($E$11=3,$F$11=2),1,0))+SUM(IF(AND($E$13=3,$F$13=2),1,0))+SUM(IF(AND($F$14=3,$E$14=2),1,0))</f>
        <v>0</v>
      </c>
      <c r="AJ4" s="13">
        <f>SUM(IF(AND($F$4=2,$E$4=3),1,0))+SUM(IF(AND($E$5=2,$F$5=3),1,0))+SUM(IF(AND($E$7=2,$F$7=3),1,0))+SUM(IF(AND($F$8=2,$E$8=3),1,0))+SUM(IF(AND($F$10=2,$E$10=3),1,0))+SUM(IF(AND($E$11=2,$F$11=3),1,0))+SUM(IF(AND($E$13=2,$F$13=3),1,0))+SUM(IF(AND($F$14=2,$E$14=3),1,0))</f>
        <v>2</v>
      </c>
      <c r="AK4" s="13">
        <f>SUM(IF(AND($F$4=1,$E$4=3),1,0))+SUM(IF(AND($E$5=1,$F$5=3),1,0))+SUM(IF(AND($E$7=1,$F$7=3),1,0))+SUM(IF(AND($F$8=1,$E$8=3),1,0))+SUM(IF(AND($F$10=1,$E$10=3),1,0))+SUM(IF(AND($E$11=1,$F$11=3),1,0))+SUM(IF(AND($E$13=1,$F$13=3),1,0))+SUM(IF(AND($F$14=1,$E$14=3),1,0))</f>
        <v>0</v>
      </c>
      <c r="AL4" s="13">
        <f>SUM(IF(AND($F$4=0,$E$4=3),1,0))+SUM(IF(AND($E$5=0,$F$5=3),1,0))+SUM(IF(AND($E$7=0,$F$7=3),1,0))+SUM(IF(AND($F$8=0,$E$8=3),1,0))+SUM(IF(AND($F$10=0,$E$10=3),1,0))+SUM(IF(AND($E$11=0,$F$11=3),1,0))+SUM(IF(AND($E$13=0,$F$13=3),1,0))+SUM(IF(AND($F$14=0,$E$14=3),1,0))</f>
        <v>2</v>
      </c>
      <c r="AM4" s="6"/>
      <c r="AN4" s="6"/>
      <c r="AO4" s="6"/>
      <c r="AP4" s="6"/>
      <c r="AQ4" s="6"/>
      <c r="AR4" s="6"/>
      <c r="AS4" s="6"/>
      <c r="AT4" s="6"/>
      <c r="AU4" s="6"/>
      <c r="AV4" s="6"/>
    </row>
    <row r="5" spans="1:48" ht="12.75" customHeight="1">
      <c r="A5" s="1" t="s">
        <v>236</v>
      </c>
      <c r="B5" s="1" t="s">
        <v>32</v>
      </c>
      <c r="C5" s="7" t="s">
        <v>33</v>
      </c>
      <c r="D5" s="7" t="s">
        <v>41</v>
      </c>
      <c r="E5" s="1">
        <v>3</v>
      </c>
      <c r="F5" s="1">
        <v>0</v>
      </c>
      <c r="G5" s="1">
        <v>25</v>
      </c>
      <c r="H5" s="1">
        <v>11</v>
      </c>
      <c r="I5" s="1">
        <v>25</v>
      </c>
      <c r="J5" s="1">
        <v>18</v>
      </c>
      <c r="K5" s="1">
        <v>27</v>
      </c>
      <c r="L5" s="1">
        <v>25</v>
      </c>
      <c r="M5" s="1">
        <v>0</v>
      </c>
      <c r="N5" s="1">
        <v>0</v>
      </c>
      <c r="O5" s="1">
        <v>0</v>
      </c>
      <c r="P5" s="1">
        <v>0</v>
      </c>
      <c r="Q5" s="1">
        <f>G5+I5+K5+M5+O5</f>
        <v>77</v>
      </c>
      <c r="R5" s="1">
        <f>H5+J5+L5+N5+P5</f>
        <v>54</v>
      </c>
      <c r="S5" s="5"/>
      <c r="T5" s="7">
        <v>3</v>
      </c>
      <c r="U5" s="11" t="s">
        <v>41</v>
      </c>
      <c r="V5" s="2">
        <f>AG5*3+AH5*3+AI5*2+AJ5*1</f>
        <v>0</v>
      </c>
      <c r="W5" s="1">
        <f>X5+Y5+Z5</f>
        <v>7</v>
      </c>
      <c r="X5" s="13">
        <f>COUNTIF($E$3,"=3")+COUNTIF($F$5,"=3")+COUNTIF($F$6,"=3")+COUNTIF($E$8,"=3")+COUNTIF($E$9,"=3")+COUNTIF($F$11,"=3")+COUNTIF($F$12,"=3")+COUNTIF($E$14,"=3")</f>
        <v>0</v>
      </c>
      <c r="Y5" s="13">
        <f>SUM(IF($E$3&lt;$F$3,1,0))+SUM(IF($F$5&lt;$E$5,1,0))+SUM(IF($F$6&lt;$E$6,1,0))+SUM(IF($E$8&lt;$F$8,1,0))+SUM(IF($E$9&lt;$F$9,1,0))+SUM(IF($F$11&lt;$E$11,1,0))+SUM(IF($F$12&lt;$E$12,1,0))+SUM(IF($E$14&lt;$F$14,1,0))</f>
        <v>7</v>
      </c>
      <c r="Z5" s="18"/>
      <c r="AA5" s="13">
        <f>$E$3+$F$5+$F$6+$E$8+$E$9+$F$11+$F$12+$E$14</f>
        <v>1</v>
      </c>
      <c r="AB5" s="13">
        <f>$F$3+$E$5+$E$6+$F$8+$F$9+$E$11</f>
        <v>18</v>
      </c>
      <c r="AC5" s="23">
        <f>IF(AB5=0,"MAX",AA5/AB5)</f>
        <v>0.05555555555555555</v>
      </c>
      <c r="AD5" s="13">
        <f>$Q$3+$R$5+$R$6+$Q$8+$Q$9+$R$11+$R$12+$Q$14</f>
        <v>362</v>
      </c>
      <c r="AE5" s="13">
        <f>$R$3+$Q$5+$Q$6+$R$8+$R$9+$Q$11+$Q$12+$R$14</f>
        <v>548</v>
      </c>
      <c r="AF5" s="23">
        <f>IF(AE5=0,"MAX",AD5/AE5)</f>
        <v>0.6605839416058394</v>
      </c>
      <c r="AG5" s="13">
        <f>SUM(IF(AND($E$3=3,$F$3=0),1,0))+SUM(IF(AND($F$5=3,$E$5=0),1,0))+SUM(IF(AND($F$6=3,$E$6=0),1,0))+SUM(IF(AND($E$8=3,$F$8=0),1,0))+SUM(IF(AND($E$9=3,$F$9=0),1,0))+SUM(IF(AND($F$11=3,$E$11=0),1,0))+SUM(IF(AND($F$12=3,$E$12=0),1,0))+SUM(IF(AND($E$14=3,$F$14=0),1,0))</f>
        <v>0</v>
      </c>
      <c r="AH5" s="13">
        <f>SUM(IF(AND($E$3=3,$F$3=1),1,0))+SUM(IF(AND($F$5=3,$E$5=1),1,0))+SUM(IF(AND($F$6=3,$E$6=1),1,0))+SUM(IF(AND($E$8=3,$F$8=1),1,0))+SUM(IF(AND($E$9=3,$F$9=1),1,0))+SUM(IF(AND($F$11=3,$E$11=1),1,0))+SUM(IF(AND($F$12=3,$E$12=1),1,0))+SUM(IF(AND($E$14=3,$F$14=1),1,0))</f>
        <v>0</v>
      </c>
      <c r="AI5" s="13">
        <f>SUM(IF(AND($E$3=3,$F$3=2),1,0))+SUM(IF(AND($F$5=3,$E$5=2),1,0))+SUM(IF(AND($F$6=3,$E$6=2),1,0))+SUM(IF(AND($E$8=3,$F$8=2),1,0))+SUM(IF(AND($E$9=3,$F$9=2),1,0))+SUM(IF(AND($F$11=3,$E$11=2),1,0))+SUM(IF(AND($F$12=3,$E$12=2),1,0))+SUM(IF(AND($E$14=3,$F$14=2),1,0))</f>
        <v>0</v>
      </c>
      <c r="AJ5" s="13">
        <f>SUM(IF(AND($E$3=2,$F$3=3),1,0))+SUM(IF(AND($F$5=2,$E$5=3),1,0))+SUM(IF(AND($F$6=2,$E$6=3),1,0))+SUM(IF(AND($E$8=2,$F$8=3),1,0))+SUM(IF(AND($E$9=2,$F$9=3),1,0))+SUM(IF(AND($F$11=2,$E$11=3),1,0))+SUM(IF(AND($F$12=2,$E$12=3),1,0))+SUM(IF(AND($E$14=2,$F$14=3),1,0))</f>
        <v>0</v>
      </c>
      <c r="AK5" s="13">
        <f>SUM(IF(AND($E$3=1,$F$3=3),1,0))+SUM(IF(AND($F$5=1,$E$5=3),1,0))+SUM(IF(AND($F$6=1,$E$6=3),1,0))+SUM(IF(AND($E$8=1,$F$8=3),1,0))+SUM(IF(AND($E$9=1,$F$9=3),1,0))+SUM(IF(AND($F$11=1,$E$11=3),1,0))+SUM(IF(AND($F$12=1,$E$12=3),1,0))+SUM(IF(AND($E$14=1,$F$14=3),1,0))</f>
        <v>1</v>
      </c>
      <c r="AL5" s="13">
        <f>SUM(IF(AND($E$3=0,$F$3=3),1,0))+SUM(IF(AND($F$5=0,$E$5=3),1,0))+SUM(IF(AND($F$6=0,$E$6=3),1,0))+SUM(IF(AND($E$8=0,$F$8=3),1,0))+SUM(IF(AND($E$9=0,$F$9=3),1,0))+SUM(IF(AND($F$11=0,$E$11=3),1,0))+SUM(IF(AND($F$12=0,$E$12=3),1,0))+SUM(IF(AND($E$14=0,$F$14=3),1,0))</f>
        <v>6</v>
      </c>
      <c r="AM5" s="6"/>
      <c r="AN5" s="6"/>
      <c r="AO5" s="6"/>
      <c r="AP5" s="6"/>
      <c r="AQ5" s="6"/>
      <c r="AR5" s="6"/>
      <c r="AS5" s="6"/>
      <c r="AT5" s="6"/>
      <c r="AU5" s="6"/>
      <c r="AV5" s="6"/>
    </row>
    <row r="6" spans="1:48" ht="12.75" customHeight="1">
      <c r="A6" s="1" t="s">
        <v>237</v>
      </c>
      <c r="B6" s="1" t="s">
        <v>131</v>
      </c>
      <c r="C6" s="7" t="s">
        <v>42</v>
      </c>
      <c r="D6" s="7" t="s">
        <v>41</v>
      </c>
      <c r="E6" s="1">
        <v>3</v>
      </c>
      <c r="F6" s="1">
        <v>0</v>
      </c>
      <c r="G6" s="1">
        <v>25</v>
      </c>
      <c r="H6" s="1">
        <v>13</v>
      </c>
      <c r="I6" s="1">
        <v>25</v>
      </c>
      <c r="J6" s="1">
        <v>23</v>
      </c>
      <c r="K6" s="1">
        <v>25</v>
      </c>
      <c r="L6" s="1">
        <v>14</v>
      </c>
      <c r="M6" s="1">
        <v>0</v>
      </c>
      <c r="N6" s="1">
        <v>0</v>
      </c>
      <c r="O6" s="1">
        <v>0</v>
      </c>
      <c r="P6" s="1">
        <v>0</v>
      </c>
      <c r="Q6" s="1">
        <f>G6+I6+K6+M6+O6</f>
        <v>75</v>
      </c>
      <c r="R6" s="1">
        <f>H6+J6+L6+N6+P6</f>
        <v>50</v>
      </c>
      <c r="S6" s="5"/>
      <c r="T6" s="3"/>
      <c r="U6" s="3"/>
      <c r="V6" s="3"/>
      <c r="W6" s="3"/>
      <c r="X6" s="3"/>
      <c r="Y6" s="3"/>
      <c r="Z6" s="3"/>
      <c r="AA6" s="3"/>
      <c r="AB6" s="3"/>
      <c r="AC6" s="35"/>
      <c r="AD6" s="3"/>
      <c r="AE6" s="3"/>
      <c r="AF6" s="35"/>
      <c r="AG6" s="5"/>
      <c r="AH6" s="5"/>
      <c r="AI6" s="5"/>
      <c r="AJ6" s="5"/>
      <c r="AK6" s="5"/>
      <c r="AL6" s="5"/>
      <c r="AM6" s="5"/>
      <c r="AN6" s="6"/>
      <c r="AO6" s="6"/>
      <c r="AP6" s="6"/>
      <c r="AQ6" s="6"/>
      <c r="AR6" s="6"/>
      <c r="AS6" s="6"/>
      <c r="AT6" s="6"/>
      <c r="AU6" s="6"/>
      <c r="AV6" s="6"/>
    </row>
    <row r="7" spans="1:48" ht="12.75" customHeight="1">
      <c r="A7" s="1" t="s">
        <v>238</v>
      </c>
      <c r="B7" s="1" t="s">
        <v>131</v>
      </c>
      <c r="C7" s="7" t="s">
        <v>33</v>
      </c>
      <c r="D7" s="7" t="s">
        <v>42</v>
      </c>
      <c r="E7" s="1">
        <v>0</v>
      </c>
      <c r="F7" s="1">
        <v>3</v>
      </c>
      <c r="G7" s="1">
        <v>16</v>
      </c>
      <c r="H7" s="1">
        <v>25</v>
      </c>
      <c r="I7" s="1">
        <v>19</v>
      </c>
      <c r="J7" s="1">
        <v>25</v>
      </c>
      <c r="K7" s="1">
        <v>20</v>
      </c>
      <c r="L7" s="1">
        <v>25</v>
      </c>
      <c r="M7" s="1">
        <v>0</v>
      </c>
      <c r="N7" s="1">
        <v>0</v>
      </c>
      <c r="O7" s="1">
        <v>0</v>
      </c>
      <c r="P7" s="1">
        <v>0</v>
      </c>
      <c r="Q7" s="1">
        <f>G7+I7+K7+M7+O7</f>
        <v>55</v>
      </c>
      <c r="R7" s="1">
        <f>H7+J7+L7+N7+P7</f>
        <v>75</v>
      </c>
      <c r="S7" s="5"/>
      <c r="T7" s="3"/>
      <c r="U7" s="3"/>
      <c r="V7" s="3"/>
      <c r="W7" s="3"/>
      <c r="X7" s="3"/>
      <c r="Y7" s="3"/>
      <c r="Z7" s="3"/>
      <c r="AA7" s="3"/>
      <c r="AB7" s="3"/>
      <c r="AC7" s="35"/>
      <c r="AD7" s="3"/>
      <c r="AE7" s="3"/>
      <c r="AF7" s="35"/>
      <c r="AG7" s="5"/>
      <c r="AH7" s="5"/>
      <c r="AI7" s="5"/>
      <c r="AJ7" s="5"/>
      <c r="AK7" s="5"/>
      <c r="AL7" s="5"/>
      <c r="AM7" s="5"/>
      <c r="AN7" s="6"/>
      <c r="AO7" s="6"/>
      <c r="AP7" s="6"/>
      <c r="AQ7" s="6"/>
      <c r="AR7" s="6"/>
      <c r="AS7" s="6"/>
      <c r="AT7" s="6"/>
      <c r="AU7" s="6"/>
      <c r="AV7" s="6"/>
    </row>
    <row r="8" spans="1:48" ht="12.75" customHeight="1">
      <c r="A8" s="1" t="s">
        <v>239</v>
      </c>
      <c r="B8" s="1" t="s">
        <v>131</v>
      </c>
      <c r="C8" s="7" t="s">
        <v>41</v>
      </c>
      <c r="D8" s="7" t="s">
        <v>33</v>
      </c>
      <c r="E8" s="1">
        <v>0</v>
      </c>
      <c r="F8" s="1">
        <v>3</v>
      </c>
      <c r="G8" s="1">
        <v>21</v>
      </c>
      <c r="H8" s="1">
        <v>25</v>
      </c>
      <c r="I8" s="1">
        <v>22</v>
      </c>
      <c r="J8" s="1">
        <v>25</v>
      </c>
      <c r="K8" s="1">
        <v>11</v>
      </c>
      <c r="L8" s="1">
        <v>25</v>
      </c>
      <c r="M8" s="1">
        <v>0</v>
      </c>
      <c r="N8" s="1">
        <v>0</v>
      </c>
      <c r="O8" s="1">
        <v>0</v>
      </c>
      <c r="P8" s="1">
        <v>0</v>
      </c>
      <c r="Q8" s="1">
        <f>G8+I8+K8+M8+O8</f>
        <v>54</v>
      </c>
      <c r="R8" s="1">
        <f>H8+J8+L8+N8+P8</f>
        <v>75</v>
      </c>
      <c r="S8" s="5"/>
      <c r="T8" s="3"/>
      <c r="U8" s="4" t="s">
        <v>29</v>
      </c>
      <c r="V8" s="3"/>
      <c r="W8" s="3"/>
      <c r="X8" s="3"/>
      <c r="Y8" s="3"/>
      <c r="Z8" s="3"/>
      <c r="AA8" s="3"/>
      <c r="AB8" s="3"/>
      <c r="AC8" s="35"/>
      <c r="AD8" s="3"/>
      <c r="AE8" s="3"/>
      <c r="AF8" s="35"/>
      <c r="AG8" s="5"/>
      <c r="AH8" s="5"/>
      <c r="AI8" s="5"/>
      <c r="AJ8" s="5"/>
      <c r="AK8" s="5"/>
      <c r="AL8" s="5"/>
      <c r="AM8" s="5"/>
      <c r="AN8" s="6"/>
      <c r="AO8" s="6"/>
      <c r="AP8" s="6"/>
      <c r="AQ8" s="6"/>
      <c r="AR8" s="6"/>
      <c r="AS8" s="6"/>
      <c r="AT8" s="6"/>
      <c r="AU8" s="6"/>
      <c r="AV8" s="6"/>
    </row>
    <row r="9" spans="1:48" ht="12.75" customHeight="1">
      <c r="A9" s="1" t="s">
        <v>240</v>
      </c>
      <c r="B9" s="1" t="s">
        <v>142</v>
      </c>
      <c r="C9" s="7" t="s">
        <v>41</v>
      </c>
      <c r="D9" s="7" t="s">
        <v>42</v>
      </c>
      <c r="E9" s="1">
        <v>0</v>
      </c>
      <c r="F9" s="1">
        <v>3</v>
      </c>
      <c r="G9" s="1">
        <v>21</v>
      </c>
      <c r="H9" s="1">
        <v>25</v>
      </c>
      <c r="I9" s="1">
        <v>11</v>
      </c>
      <c r="J9" s="1">
        <v>25</v>
      </c>
      <c r="K9" s="1">
        <v>20</v>
      </c>
      <c r="L9" s="1">
        <v>25</v>
      </c>
      <c r="M9" s="1">
        <v>0</v>
      </c>
      <c r="N9" s="1">
        <v>0</v>
      </c>
      <c r="O9" s="1">
        <v>0</v>
      </c>
      <c r="P9" s="1">
        <v>0</v>
      </c>
      <c r="Q9" s="1">
        <f>G9+I9+K9+M9+O9</f>
        <v>52</v>
      </c>
      <c r="R9" s="1">
        <f>H9+J9+L9+N9+P9</f>
        <v>75</v>
      </c>
      <c r="S9" s="5"/>
      <c r="T9" s="3"/>
      <c r="U9" s="11" t="s">
        <v>42</v>
      </c>
      <c r="V9" s="3"/>
      <c r="W9" s="3"/>
      <c r="X9" s="3"/>
      <c r="Y9" s="3"/>
      <c r="Z9" s="3"/>
      <c r="AA9" s="3"/>
      <c r="AB9" s="3"/>
      <c r="AC9" s="35"/>
      <c r="AD9" s="3"/>
      <c r="AE9" s="3"/>
      <c r="AF9" s="35"/>
      <c r="AG9" s="5"/>
      <c r="AH9" s="5"/>
      <c r="AI9" s="5"/>
      <c r="AJ9" s="5"/>
      <c r="AK9" s="5"/>
      <c r="AL9" s="5"/>
      <c r="AM9" s="5"/>
      <c r="AN9" s="6"/>
      <c r="AO9" s="6"/>
      <c r="AP9" s="6"/>
      <c r="AQ9" s="6"/>
      <c r="AR9" s="6"/>
      <c r="AS9" s="6"/>
      <c r="AT9" s="6"/>
      <c r="AU9" s="6"/>
      <c r="AV9" s="6"/>
    </row>
    <row r="10" spans="1:48" ht="12.75" customHeight="1">
      <c r="A10" s="1" t="s">
        <v>241</v>
      </c>
      <c r="B10" s="1" t="s">
        <v>142</v>
      </c>
      <c r="C10" s="7" t="s">
        <v>42</v>
      </c>
      <c r="D10" s="7" t="s">
        <v>33</v>
      </c>
      <c r="E10" s="1">
        <v>3</v>
      </c>
      <c r="F10" s="1">
        <v>2</v>
      </c>
      <c r="G10" s="1">
        <v>27</v>
      </c>
      <c r="H10" s="1">
        <v>25</v>
      </c>
      <c r="I10" s="1">
        <v>25</v>
      </c>
      <c r="J10" s="1">
        <v>27</v>
      </c>
      <c r="K10" s="1">
        <v>20</v>
      </c>
      <c r="L10" s="1">
        <v>25</v>
      </c>
      <c r="M10" s="1">
        <v>26</v>
      </c>
      <c r="N10" s="1">
        <v>24</v>
      </c>
      <c r="O10" s="1">
        <v>15</v>
      </c>
      <c r="P10" s="1">
        <v>9</v>
      </c>
      <c r="Q10" s="1">
        <f>G10+I10+K10+M10+O10</f>
        <v>113</v>
      </c>
      <c r="R10" s="1">
        <f>H10+J10+L10+N10+P10</f>
        <v>110</v>
      </c>
      <c r="S10" s="5"/>
      <c r="T10" s="3"/>
      <c r="U10" s="3"/>
      <c r="V10" s="3"/>
      <c r="W10" s="3"/>
      <c r="X10" s="3"/>
      <c r="Y10" s="3"/>
      <c r="Z10" s="3"/>
      <c r="AA10" s="3"/>
      <c r="AB10" s="3"/>
      <c r="AC10" s="35"/>
      <c r="AD10" s="3"/>
      <c r="AE10" s="3"/>
      <c r="AF10" s="35"/>
      <c r="AG10" s="5"/>
      <c r="AH10" s="5"/>
      <c r="AI10" s="5"/>
      <c r="AJ10" s="5"/>
      <c r="AK10" s="5"/>
      <c r="AL10" s="5"/>
      <c r="AM10" s="5"/>
      <c r="AN10" s="6"/>
      <c r="AO10" s="6"/>
      <c r="AP10" s="6"/>
      <c r="AQ10" s="6"/>
      <c r="AR10" s="6"/>
      <c r="AS10" s="6"/>
      <c r="AT10" s="6"/>
      <c r="AU10" s="6"/>
      <c r="AV10" s="6"/>
    </row>
    <row r="11" spans="1:48" ht="12.75" customHeight="1">
      <c r="A11" s="1" t="s">
        <v>242</v>
      </c>
      <c r="B11" s="1" t="s">
        <v>142</v>
      </c>
      <c r="C11" s="7" t="s">
        <v>33</v>
      </c>
      <c r="D11" s="7" t="s">
        <v>41</v>
      </c>
      <c r="E11" s="1">
        <v>3</v>
      </c>
      <c r="F11" s="1">
        <v>0</v>
      </c>
      <c r="G11" s="1">
        <v>25</v>
      </c>
      <c r="H11" s="1">
        <v>6</v>
      </c>
      <c r="I11" s="1">
        <v>25</v>
      </c>
      <c r="J11" s="1">
        <v>6</v>
      </c>
      <c r="K11" s="1">
        <v>25</v>
      </c>
      <c r="L11" s="1">
        <v>18</v>
      </c>
      <c r="M11" s="1">
        <v>0</v>
      </c>
      <c r="N11" s="1">
        <v>0</v>
      </c>
      <c r="O11" s="1">
        <v>0</v>
      </c>
      <c r="P11" s="1">
        <v>0</v>
      </c>
      <c r="Q11" s="1">
        <f>G11+I11+K11+M11+O11</f>
        <v>75</v>
      </c>
      <c r="R11" s="1">
        <f>H11+J11+L11+N11+P11</f>
        <v>30</v>
      </c>
      <c r="S11" s="5"/>
      <c r="T11" s="3"/>
      <c r="U11" s="3"/>
      <c r="V11" s="3"/>
      <c r="W11" s="3"/>
      <c r="X11" s="3"/>
      <c r="Y11" s="3"/>
      <c r="Z11" s="3"/>
      <c r="AA11" s="3"/>
      <c r="AB11" s="3"/>
      <c r="AC11" s="35"/>
      <c r="AD11" s="3"/>
      <c r="AE11" s="3"/>
      <c r="AF11" s="35"/>
      <c r="AG11" s="5"/>
      <c r="AH11" s="5"/>
      <c r="AI11" s="5"/>
      <c r="AJ11" s="5"/>
      <c r="AK11" s="5"/>
      <c r="AL11" s="5"/>
      <c r="AM11" s="5"/>
      <c r="AN11" s="6"/>
      <c r="AO11" s="6"/>
      <c r="AP11" s="6"/>
      <c r="AQ11" s="6"/>
      <c r="AR11" s="6"/>
      <c r="AS11" s="6"/>
      <c r="AT11" s="6"/>
      <c r="AU11" s="6"/>
      <c r="AV11" s="6"/>
    </row>
    <row r="12" spans="1:48" ht="12.75" customHeight="1">
      <c r="A12" s="1" t="s">
        <v>243</v>
      </c>
      <c r="B12" s="1" t="s">
        <v>218</v>
      </c>
      <c r="C12" s="7" t="s">
        <v>42</v>
      </c>
      <c r="D12" s="7" t="s">
        <v>41</v>
      </c>
      <c r="E12" s="1">
        <v>3</v>
      </c>
      <c r="F12" s="1">
        <v>0</v>
      </c>
      <c r="G12" s="1">
        <v>25</v>
      </c>
      <c r="H12" s="1">
        <v>14</v>
      </c>
      <c r="I12" s="1">
        <v>25</v>
      </c>
      <c r="J12" s="1">
        <v>18</v>
      </c>
      <c r="K12" s="1">
        <v>25</v>
      </c>
      <c r="L12" s="1">
        <v>19</v>
      </c>
      <c r="M12" s="1">
        <v>0</v>
      </c>
      <c r="N12" s="1">
        <v>0</v>
      </c>
      <c r="O12" s="1">
        <v>0</v>
      </c>
      <c r="P12" s="1">
        <v>0</v>
      </c>
      <c r="Q12" s="1">
        <f>G12+I12+K12+M12+O12</f>
        <v>75</v>
      </c>
      <c r="R12" s="1">
        <f>H12+J12+L12+N12+P12</f>
        <v>51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88"/>
      <c r="AD12" s="6"/>
      <c r="AE12" s="6"/>
      <c r="AF12" s="88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ht="12.75" customHeight="1">
      <c r="A13" s="1" t="s">
        <v>244</v>
      </c>
      <c r="B13" s="1" t="s">
        <v>218</v>
      </c>
      <c r="C13" s="7" t="s">
        <v>33</v>
      </c>
      <c r="D13" s="7" t="s">
        <v>42</v>
      </c>
      <c r="E13" s="116">
        <v>0</v>
      </c>
      <c r="F13" s="116">
        <v>3</v>
      </c>
      <c r="G13" s="116">
        <v>18</v>
      </c>
      <c r="H13" s="116">
        <v>25</v>
      </c>
      <c r="I13" s="116">
        <v>20</v>
      </c>
      <c r="J13" s="116">
        <v>25</v>
      </c>
      <c r="K13" s="116">
        <v>18</v>
      </c>
      <c r="L13" s="116">
        <v>25</v>
      </c>
      <c r="M13" s="116">
        <v>0</v>
      </c>
      <c r="N13" s="116">
        <v>0</v>
      </c>
      <c r="O13" s="116">
        <v>0</v>
      </c>
      <c r="P13" s="116">
        <v>0</v>
      </c>
      <c r="Q13" s="1">
        <f>G13+I13+K13+M13+O13</f>
        <v>56</v>
      </c>
      <c r="R13" s="1">
        <f>H13+J13+L13+N13+P13</f>
        <v>75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88"/>
      <c r="AD13" s="6"/>
      <c r="AE13" s="6"/>
      <c r="AF13" s="88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</row>
    <row r="14" spans="1:48" ht="12.75" customHeight="1">
      <c r="A14" s="1" t="s">
        <v>245</v>
      </c>
      <c r="B14" s="1" t="s">
        <v>218</v>
      </c>
      <c r="C14" s="7" t="s">
        <v>41</v>
      </c>
      <c r="D14" s="7" t="s">
        <v>33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>
        <f>G14+I14+K14+M14+O14</f>
        <v>0</v>
      </c>
      <c r="R14" s="1">
        <f>H14+J14+L14+N14+P14</f>
        <v>0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88"/>
      <c r="AD14" s="6"/>
      <c r="AE14" s="6"/>
      <c r="AF14" s="88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</row>
    <row r="15" spans="1:48" ht="12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C15" s="88"/>
      <c r="AD15" s="6"/>
      <c r="AE15" s="6"/>
      <c r="AF15" s="88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</row>
    <row r="16" spans="1:48" ht="12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88"/>
      <c r="AD16" s="6"/>
      <c r="AE16" s="6"/>
      <c r="AF16" s="88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</row>
    <row r="17" spans="1:48" ht="12.7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88"/>
      <c r="AD17" s="6"/>
      <c r="AE17" s="6"/>
      <c r="AF17" s="88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</row>
    <row r="18" spans="1:48" ht="12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88"/>
      <c r="AD18" s="6"/>
      <c r="AE18" s="6"/>
      <c r="AF18" s="88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</row>
    <row r="19" spans="1:48" ht="12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88"/>
      <c r="AD19" s="6"/>
      <c r="AE19" s="6"/>
      <c r="AF19" s="88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</row>
    <row r="20" spans="1:48" ht="12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88"/>
      <c r="AD20" s="6"/>
      <c r="AE20" s="6"/>
      <c r="AF20" s="88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</row>
    <row r="21" spans="1:48" ht="12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88"/>
      <c r="AD21" s="6"/>
      <c r="AE21" s="6"/>
      <c r="AF21" s="88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</row>
  </sheetData>
  <sheetProtection/>
  <mergeCells count="14">
    <mergeCell ref="AD1:AF1"/>
    <mergeCell ref="AG1:AL1"/>
    <mergeCell ref="W1:Z1"/>
    <mergeCell ref="AA1:AC1"/>
    <mergeCell ref="C1:D1"/>
    <mergeCell ref="E1:F1"/>
    <mergeCell ref="G1:R1"/>
    <mergeCell ref="E2:F2"/>
    <mergeCell ref="G2:H2"/>
    <mergeCell ref="I2:J2"/>
    <mergeCell ref="K2:L2"/>
    <mergeCell ref="Q2:R2"/>
    <mergeCell ref="M2:N2"/>
    <mergeCell ref="O2:P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P1000"/>
  <sheetViews>
    <sheetView showGridLines="0" zoomScalePageLayoutView="0" workbookViewId="0" topLeftCell="A1">
      <selection activeCell="A1" sqref="A1"/>
    </sheetView>
  </sheetViews>
  <sheetFormatPr defaultColWidth="14.421875" defaultRowHeight="15" customHeight="1"/>
  <cols>
    <col min="1" max="1" width="7.28125" style="0" customWidth="1"/>
    <col min="2" max="2" width="11.7109375" style="0" customWidth="1"/>
    <col min="3" max="3" width="25.8515625" style="0" customWidth="1"/>
    <col min="4" max="4" width="26.8515625" style="0" customWidth="1"/>
    <col min="5" max="14" width="5.7109375" style="0" customWidth="1"/>
    <col min="15" max="15" width="4.140625" style="0" customWidth="1"/>
    <col min="16" max="16" width="2.8515625" style="0" customWidth="1"/>
    <col min="17" max="17" width="22.8515625" style="0" customWidth="1"/>
    <col min="18" max="18" width="7.57421875" style="0" customWidth="1"/>
    <col min="19" max="19" width="5.421875" style="0" customWidth="1"/>
    <col min="20" max="20" width="5.00390625" style="0" customWidth="1"/>
    <col min="21" max="21" width="5.140625" style="0" customWidth="1"/>
    <col min="22" max="22" width="5.00390625" style="0" customWidth="1"/>
    <col min="23" max="24" width="5.140625" style="0" customWidth="1"/>
    <col min="25" max="25" width="5.8515625" style="0" customWidth="1"/>
    <col min="26" max="26" width="5.421875" style="0" customWidth="1"/>
    <col min="27" max="27" width="5.28125" style="0" customWidth="1"/>
    <col min="28" max="32" width="5.7109375" style="0" customWidth="1"/>
    <col min="33" max="42" width="11.421875" style="0" customWidth="1"/>
  </cols>
  <sheetData>
    <row r="1" spans="1:42" ht="12.75" customHeight="1">
      <c r="A1" s="1"/>
      <c r="B1" s="1"/>
      <c r="C1" s="159" t="s">
        <v>0</v>
      </c>
      <c r="D1" s="143"/>
      <c r="E1" s="158"/>
      <c r="F1" s="143"/>
      <c r="G1" s="159" t="s">
        <v>1</v>
      </c>
      <c r="H1" s="142"/>
      <c r="I1" s="142"/>
      <c r="J1" s="142"/>
      <c r="K1" s="142"/>
      <c r="L1" s="142"/>
      <c r="M1" s="142"/>
      <c r="N1" s="143"/>
      <c r="O1" s="3"/>
      <c r="P1" s="4"/>
      <c r="Q1" s="4" t="s">
        <v>3</v>
      </c>
      <c r="R1" s="4" t="s">
        <v>3</v>
      </c>
      <c r="S1" s="157" t="s">
        <v>4</v>
      </c>
      <c r="T1" s="142"/>
      <c r="U1" s="142"/>
      <c r="V1" s="143"/>
      <c r="W1" s="156" t="s">
        <v>5</v>
      </c>
      <c r="X1" s="142"/>
      <c r="Y1" s="143"/>
      <c r="Z1" s="156" t="s">
        <v>6</v>
      </c>
      <c r="AA1" s="142"/>
      <c r="AB1" s="143"/>
      <c r="AC1" s="156" t="s">
        <v>7</v>
      </c>
      <c r="AD1" s="142"/>
      <c r="AE1" s="142"/>
      <c r="AF1" s="154"/>
      <c r="AG1" s="5"/>
      <c r="AH1" s="6"/>
      <c r="AI1" s="6"/>
      <c r="AJ1" s="6"/>
      <c r="AK1" s="6"/>
      <c r="AL1" s="6"/>
      <c r="AM1" s="6"/>
      <c r="AN1" s="6"/>
      <c r="AO1" s="6"/>
      <c r="AP1" s="6"/>
    </row>
    <row r="2" spans="1:42" ht="12.75" customHeight="1">
      <c r="A2" s="7" t="s">
        <v>8</v>
      </c>
      <c r="B2" s="7" t="s">
        <v>9</v>
      </c>
      <c r="C2" s="7" t="s">
        <v>10</v>
      </c>
      <c r="D2" s="7" t="s">
        <v>11</v>
      </c>
      <c r="E2" s="159" t="s">
        <v>5</v>
      </c>
      <c r="F2" s="143"/>
      <c r="G2" s="160">
        <v>1</v>
      </c>
      <c r="H2" s="143"/>
      <c r="I2" s="159">
        <v>2</v>
      </c>
      <c r="J2" s="143"/>
      <c r="K2" s="160">
        <v>3</v>
      </c>
      <c r="L2" s="143"/>
      <c r="M2" s="159" t="s">
        <v>12</v>
      </c>
      <c r="N2" s="143"/>
      <c r="O2" s="3"/>
      <c r="P2" s="4" t="s">
        <v>13</v>
      </c>
      <c r="Q2" s="4" t="s">
        <v>14</v>
      </c>
      <c r="R2" s="4" t="s">
        <v>6</v>
      </c>
      <c r="S2" s="8" t="s">
        <v>12</v>
      </c>
      <c r="T2" s="9" t="s">
        <v>15</v>
      </c>
      <c r="U2" s="9" t="s">
        <v>16</v>
      </c>
      <c r="V2" s="4" t="s">
        <v>17</v>
      </c>
      <c r="W2" s="9" t="s">
        <v>15</v>
      </c>
      <c r="X2" s="4" t="s">
        <v>16</v>
      </c>
      <c r="Y2" s="21" t="s">
        <v>18</v>
      </c>
      <c r="Z2" s="9" t="s">
        <v>15</v>
      </c>
      <c r="AA2" s="4" t="s">
        <v>16</v>
      </c>
      <c r="AB2" s="21" t="s">
        <v>18</v>
      </c>
      <c r="AC2" s="114" t="s">
        <v>246</v>
      </c>
      <c r="AD2" s="114" t="s">
        <v>247</v>
      </c>
      <c r="AE2" s="114" t="s">
        <v>248</v>
      </c>
      <c r="AF2" s="121" t="s">
        <v>249</v>
      </c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42" ht="12.75" customHeight="1">
      <c r="A3" s="1" t="s">
        <v>234</v>
      </c>
      <c r="B3" s="1" t="s">
        <v>32</v>
      </c>
      <c r="C3" s="11" t="s">
        <v>319</v>
      </c>
      <c r="D3" s="11" t="s">
        <v>320</v>
      </c>
      <c r="E3" s="1">
        <v>0</v>
      </c>
      <c r="F3" s="1">
        <v>2</v>
      </c>
      <c r="G3" s="1">
        <v>7</v>
      </c>
      <c r="H3" s="1">
        <v>25</v>
      </c>
      <c r="I3" s="1">
        <v>12</v>
      </c>
      <c r="J3" s="1">
        <v>25</v>
      </c>
      <c r="K3" s="1">
        <v>0</v>
      </c>
      <c r="L3" s="1">
        <v>0</v>
      </c>
      <c r="M3" s="1">
        <f>G3+I3+K3</f>
        <v>19</v>
      </c>
      <c r="N3" s="1">
        <f>H3+J3+L3</f>
        <v>50</v>
      </c>
      <c r="O3" s="5"/>
      <c r="P3" s="7">
        <v>1</v>
      </c>
      <c r="Q3" s="11" t="s">
        <v>41</v>
      </c>
      <c r="R3" s="2">
        <f>AC3*3+AD3*2+AE3*1</f>
        <v>5</v>
      </c>
      <c r="S3" s="1">
        <f>T3+U3+V3</f>
        <v>2</v>
      </c>
      <c r="T3" s="13">
        <f>COUNTIF($F$4,"=2")+COUNTIF($E$5,"=2")+COUNTIF($E$7,"=2")+COUNTIF($F$8,"=2")+COUNTIF($F$10,"=2")+COUNTIF($E$11,"=2")+COUNTIF($E$13,"=2")+COUNTIF($F$14,"=2")</f>
        <v>2</v>
      </c>
      <c r="U3" s="13">
        <f>SUM(IF($F$4&lt;$E$4,1,0))+SUM(IF($E$5&lt;$F$5,1,0))+SUM(IF($E$7&lt;$F$7,1,0))+SUM(IF($F$8&lt;$E$8,1,0))+SUM(IF($F$10&lt;$E$10,1,0))+SUM(IF($E$11&lt;$F$11,1,0))+SUM(IF($E$13&lt;$F$13,1,0))+SUM(IF($F$14&lt;$E$14,1,0))</f>
        <v>0</v>
      </c>
      <c r="V3" s="18"/>
      <c r="W3" s="13">
        <f>$F$4+$E$5+$E$7+$F$8+$F$10+$E$11+$E$13+$F$14</f>
        <v>4</v>
      </c>
      <c r="X3" s="13">
        <f>$E$4+$F$5+$F$7+$E$8+$E$10+$F$11</f>
        <v>1</v>
      </c>
      <c r="Y3" s="23">
        <f>IF(X3=0,"MAX",W3/X3)</f>
        <v>4</v>
      </c>
      <c r="Z3" s="13">
        <f>$N$4+$M$5+$M$7+$N$8+$N$10+$M$11+$M$13+$N$14</f>
        <v>110</v>
      </c>
      <c r="AA3" s="13">
        <f>$M$4+$N$5+$N$7+$M$8+$M$10+$N$11+$N$13+$M$14</f>
        <v>63</v>
      </c>
      <c r="AB3" s="23">
        <f>IF(AA3=0,"MAX",Z3/AA3)</f>
        <v>1.746031746031746</v>
      </c>
      <c r="AC3" s="13">
        <f>SUM(IF(AND($F$4=2,$E$4=0),1,0))+SUM(IF(AND($E$5=2,$F$5=0),1,0))+SUM(IF(AND($E$7=2,$F$7=0),1,0))+SUM(IF(AND($F$8=2,$E$8=0),1,0))+SUM(IF(AND($F$10=2,$E$10=0),1,0))+SUM(IF(AND($E$11=2,$F$11=0),1,0))+SUM(IF(AND($E$13=2,$F$13=0),1,0))+SUM(IF(AND($F$14=2,$E$14=0),1,0))</f>
        <v>1</v>
      </c>
      <c r="AD3" s="13">
        <f>SUM(IF(AND($F$4=2,$E$4=1),1,0))+SUM(IF(AND($E$5=2,$F$5=1),1,0))+SUM(IF(AND($E$7=2,$F$7=1),1,0))+SUM(IF(AND($F$8=2,$E$8=1),1,0))+SUM(IF(AND($F$10=2,$E$10=1),1,0))+SUM(IF(AND($E$11=2,$F$11=1),1,0))+SUM(IF(AND($E$13=2,$F$13=1),1,0))+SUM(IF(AND($F$14=2,$E$14=1),1,0))</f>
        <v>1</v>
      </c>
      <c r="AE3" s="13">
        <f>SUM(IF(AND($F$4=1,$E$4=2),1,0))+SUM(IF(AND($E$5=1,$F$5=2),1,0))+SUM(IF(AND($E$7=1,$F$7=2),1,0))+SUM(IF(AND($F$8=1,$E$8=2),1,0))+SUM(IF(AND($F$10=1,$E$10=2),1,0))+SUM(IF(AND($E$11=1,$F$11=2),1,0))+SUM(IF(AND($E$13=1,$F$13=2),1,0))+SUM(IF(AND($F$14=1,$E$14=2),1,0))</f>
        <v>0</v>
      </c>
      <c r="AF3" s="13">
        <f>SUM(IF(AND($F$4=0,$E$4=2),1,0))+SUM(IF(AND($E$5=0,$F$5=2),1,0))+SUM(IF(AND($E$7=0,$F$7=2),1,0))+SUM(IF(AND($F$8=0,$E$8=2),1,0))+SUM(IF(AND($F$10=0,$E$10=2),1,0))+SUM(IF(AND($E$11=0,$F$11=2),1,0))+SUM(IF(AND($E$13=0,$F$13=2),1,0))+SUM(IF(AND($F$14=0,$E$14=2),1,0))</f>
        <v>0</v>
      </c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1:42" ht="12.75" customHeight="1">
      <c r="A4" s="1" t="s">
        <v>235</v>
      </c>
      <c r="B4" s="1" t="s">
        <v>32</v>
      </c>
      <c r="C4" s="11" t="s">
        <v>320</v>
      </c>
      <c r="D4" s="11" t="s">
        <v>41</v>
      </c>
      <c r="E4" s="1">
        <v>1</v>
      </c>
      <c r="F4" s="1">
        <v>2</v>
      </c>
      <c r="G4" s="1">
        <v>22</v>
      </c>
      <c r="H4" s="1">
        <v>25</v>
      </c>
      <c r="I4" s="1">
        <v>25</v>
      </c>
      <c r="J4" s="1">
        <v>20</v>
      </c>
      <c r="K4" s="1">
        <v>10</v>
      </c>
      <c r="L4" s="1">
        <v>15</v>
      </c>
      <c r="M4" s="1">
        <f>G4+I4+K4</f>
        <v>57</v>
      </c>
      <c r="N4" s="1">
        <f>H4+J4+L4</f>
        <v>60</v>
      </c>
      <c r="O4" s="5"/>
      <c r="P4" s="7">
        <v>2</v>
      </c>
      <c r="Q4" s="11" t="s">
        <v>320</v>
      </c>
      <c r="R4" s="2">
        <f>AC4*3+AD4*2+AE4*1</f>
        <v>4</v>
      </c>
      <c r="S4" s="1">
        <f>T4+U4+V4</f>
        <v>2</v>
      </c>
      <c r="T4" s="13">
        <f>COUNTIF($F$3,"=2")+COUNTIF($E$4,"=2")+COUNTIF($E$6,"=2")+COUNTIF($F$7,"=2")+COUNTIF($F$9,"=2")+COUNTIF($E$10,"=2")+COUNTIF($E$12,"=2")+COUNTIF($F$13,"=2")</f>
        <v>1</v>
      </c>
      <c r="U4" s="13">
        <f>SUM(IF($F$3&lt;$E$3,1,0))+SUM(IF($E$4&lt;$F$4,1,0))+SUM(IF($E$6&lt;$F$6,1,0))+SUM(IF($F$7&lt;$E$7,1,0))+SUM(IF($F$9&lt;$E$9,1,0))+SUM(IF($E$10&lt;$F$10,1,0))+SUM(IF($E$12&lt;$F$12,1,0))+SUM(IF($F$13&lt;$E$13,1,0))</f>
        <v>1</v>
      </c>
      <c r="V4" s="18"/>
      <c r="W4" s="13">
        <f>$F$3+$E$4+$E$6+$F$7+$F$9+$E$10+$E$12+$F$13</f>
        <v>3</v>
      </c>
      <c r="X4" s="13">
        <f>$E$3+$F$4+$F$6+$E$7+$E$9+$F$10</f>
        <v>2</v>
      </c>
      <c r="Y4" s="23">
        <f>IF(X4=0,"MAX",W4/X4)</f>
        <v>1.5</v>
      </c>
      <c r="Z4" s="13">
        <f>$N$3+$M$4+$M$6+$N$7+$N$9+$M$10+$M$12+$N$13</f>
        <v>107</v>
      </c>
      <c r="AA4" s="13">
        <f>$M$3+$N$4+$N$6+$M$7+$M$9+$N$10+$N$12+$N$13</f>
        <v>79</v>
      </c>
      <c r="AB4" s="23">
        <f>IF(AA4=0,"MAX",Z4/AA4)</f>
        <v>1.3544303797468353</v>
      </c>
      <c r="AC4" s="13">
        <f>SUM(IF(AND($F$3=2,$E$3=0),1,0))+SUM(IF(AND($E$4=2,$F$4=0),1,0))+SUM(IF(AND($E$6=2,$F$6=0),1,0))+SUM(IF(AND($F$7=2,$E$7=0),1,0))+SUM(IF(AND($F$9=2,$E$9=0),1,0))+SUM(IF(AND($E$10=2,$F$10=0),1,0))+SUM(IF(AND($E$12=2,$F$12=0),1,0))+SUM(IF(AND($F$13=2,$E$13=0),1,0))</f>
        <v>1</v>
      </c>
      <c r="AD4" s="13">
        <f>SUM(IF(AND($F$3=2,$E$3=1),1,0))+SUM(IF(AND($E$4=2,$F$4=1),1,0))+SUM(IF(AND($E$6=2,$F$6=1),1,0))+SUM(IF(AND($F$7=2,$E$7=1),1,0))+SUM(IF(AND($F$9=2,$E$9=1),1,0))+SUM(IF(AND($E$10=2,$F$10=1),1,0))+SUM(IF(AND($E$12=2,$F$12=1),1,0))+SUM(IF(AND($F$13=2,$E$13=1),1,0))</f>
        <v>0</v>
      </c>
      <c r="AE4" s="13">
        <f>SUM(IF(AND($F$3=1,$E$3=2),1,0))+SUM(IF(AND($E$4=1,$F$4=2),1,0))+SUM(IF(AND($E$6=1,$F$6=2),1,0))+SUM(IF(AND($F$7=1,$E$7=2),1,0))+SUM(IF(AND($F$9=1,$E$9=2),1,0))+SUM(IF(AND($E$10=1,$F$10=2),1,0))+SUM(IF(AND($E$12=1,$F$12=2),1,0))+SUM(IF(AND($F$13=1,$E$13=2),1,0))</f>
        <v>1</v>
      </c>
      <c r="AF4" s="13">
        <f>SUM(IF(AND($F$3=0,$E$3=2),1,0))+SUM(IF(AND($E$4=0,$F$4=2),1,0))+SUM(IF(AND($E$6=0,$F$6=2),1,0))+SUM(IF(AND($F$7=0,$E$7=2),1,0))+SUM(IF(AND($F$9=0,$E$9=2),1,0))+SUM(IF(AND($E$10=0,$F$10=2),1,0))+SUM(IF(AND($E$12=0,$F$12=2),1,0))+SUM(IF(AND($F$13=0,$E$13=2),1,0))</f>
        <v>0</v>
      </c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1:42" ht="12.75" customHeight="1">
      <c r="A5" s="1" t="s">
        <v>236</v>
      </c>
      <c r="B5" s="1" t="s">
        <v>32</v>
      </c>
      <c r="C5" s="11" t="s">
        <v>41</v>
      </c>
      <c r="D5" s="11" t="s">
        <v>319</v>
      </c>
      <c r="E5" s="1">
        <v>2</v>
      </c>
      <c r="F5" s="1">
        <v>0</v>
      </c>
      <c r="G5" s="1">
        <v>25</v>
      </c>
      <c r="H5" s="1">
        <v>6</v>
      </c>
      <c r="I5" s="1">
        <v>25</v>
      </c>
      <c r="J5" s="1">
        <v>0</v>
      </c>
      <c r="K5" s="1">
        <v>0</v>
      </c>
      <c r="L5" s="1">
        <v>0</v>
      </c>
      <c r="M5" s="1">
        <f>G5+I5+K5</f>
        <v>50</v>
      </c>
      <c r="N5" s="1">
        <f>H5+J5+L5</f>
        <v>6</v>
      </c>
      <c r="O5" s="5"/>
      <c r="P5" s="7">
        <v>3</v>
      </c>
      <c r="Q5" s="11" t="s">
        <v>319</v>
      </c>
      <c r="R5" s="2">
        <f>AC5*3+AD5*2+AE5*1</f>
        <v>0</v>
      </c>
      <c r="S5" s="1">
        <f>T5+U5+V5</f>
        <v>2</v>
      </c>
      <c r="T5" s="13">
        <f>COUNTIF($E$3,"=2")+COUNTIF($F$5,"=2")+COUNTIF($F$6,"=2")+COUNTIF($E$8,"=2")+COUNTIF($E$9,"=2")+COUNTIF($F$11,"=2")+COUNTIF($F$12,"=2")+COUNTIF($E$14,"=2")</f>
        <v>0</v>
      </c>
      <c r="U5" s="13">
        <f>SUM(IF($E$3&lt;$F$3,1,0))+SUM(IF($F$5&lt;$E$5,1,0))+SUM(IF($F$6&lt;$E$6,1,0))+SUM(IF($E$8&lt;$F$8,1,0))+SUM(IF($E$9&lt;$F$9,1,0))+SUM(IF($F$11&lt;$E$11,1,0))+SUM(IF($F$12&lt;$E$12,1,0))+SUM(IF($E$14&lt;$F$14,1,0))</f>
        <v>2</v>
      </c>
      <c r="V5" s="18"/>
      <c r="W5" s="13">
        <f>$E$3+$F$5+$F$6+$E$8+$E$9+$F$11+$F$12+$E$14</f>
        <v>0</v>
      </c>
      <c r="X5" s="13">
        <f>$F$3+$E$5+$E$6+$F$8+$F$9+$E$11</f>
        <v>4</v>
      </c>
      <c r="Y5" s="23">
        <f>IF(X5=0,"MAX",W5/X5)</f>
        <v>0</v>
      </c>
      <c r="Z5" s="13">
        <f>$M$3+$N$5+$N$6+$M$8+$M$9+$N$11+$N$12+$M$14</f>
        <v>25</v>
      </c>
      <c r="AA5" s="13">
        <f>$N$3+$M$5+$M$6+$N$8+$N$9+$M$11+$M$12+$N$14</f>
        <v>100</v>
      </c>
      <c r="AB5" s="23">
        <f>IF(AA5=0,"MAX",Z5/AA5)</f>
        <v>0.25</v>
      </c>
      <c r="AC5" s="13">
        <f>SUM(IF(AND($E$3=2,$F$3=0),1,0))+SUM(IF(AND($F$5=2,$E$5=0),1,0))+SUM(IF(AND($F$6=2,$E$6=0),1,0))+SUM(IF(AND($E$8=2,$F$8=0),1,0))+SUM(IF(AND($E$9=2,$F$9=0),1,0))+SUM(IF(AND($F$11=2,$E$11=0),1,0))+SUM(IF(AND($F$12=2,$E$12=0),1,0))+SUM(IF(AND($E$14=2,$F$14=0),1,0))</f>
        <v>0</v>
      </c>
      <c r="AD5" s="13">
        <f>SUM(IF(AND($E$3=2,$F$3=1),1,0))+SUM(IF(AND($F$5=2,$E$5=1),1,0))+SUM(IF(AND($F$6=2,$E$6=1),1,0))+SUM(IF(AND($E$8=2,$F$8=1),1,0))+SUM(IF(AND($E$9=2,$F$9=1),1,0))+SUM(IF(AND($F$11=2,$E$11=1),1,0))+SUM(IF(AND($F$12=2,$E$12=1),1,0))+SUM(IF(AND($E$14=2,$F$14=1),1,0))</f>
        <v>0</v>
      </c>
      <c r="AE5" s="13">
        <f>SUM(IF(AND($E$3=1,$F$3=2),1,0))+SUM(IF(AND($F$5=1,$E$5=2),1,0))+SUM(IF(AND($F$6=1,$E$6=2),1,0))+SUM(IF(AND($E$8=1,$F$8=2),1,0))+SUM(IF(AND($E$9=1,$F$9=2),1,0))+SUM(IF(AND($F$11=1,$E$11=2),1,0))+SUM(IF(AND($F$12=1,$E$12=2),1,0))+SUM(IF(AND($E$14=1,$F$14=2),1,0))</f>
        <v>0</v>
      </c>
      <c r="AF5" s="13">
        <f>SUM(IF(AND($E$3=0,$F$3=2),1,0))+SUM(IF(AND($F$5=0,$E$5=2),1,0))+SUM(IF(AND($F$6=0,$E$6=2),1,0))+SUM(IF(AND($E$8=0,$F$8=2),1,0))+SUM(IF(AND($E$9=0,$F$9=2),1,0))+SUM(IF(AND($F$11=0,$E$11=2),1,0))+SUM(IF(AND($F$12=0,$E$12=2),1,0))+SUM(IF(AND($E$14=0,$F$14=2),1,0))</f>
        <v>2</v>
      </c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1:42" ht="12.75" customHeight="1">
      <c r="A6" s="1" t="s">
        <v>237</v>
      </c>
      <c r="B6" s="1" t="s">
        <v>131</v>
      </c>
      <c r="C6" s="11" t="s">
        <v>320</v>
      </c>
      <c r="D6" s="11" t="s">
        <v>319</v>
      </c>
      <c r="E6" s="1"/>
      <c r="F6" s="1"/>
      <c r="G6" s="1"/>
      <c r="H6" s="1"/>
      <c r="I6" s="1"/>
      <c r="J6" s="1"/>
      <c r="K6" s="1"/>
      <c r="L6" s="1"/>
      <c r="M6" s="1">
        <f>G6+I6+K6</f>
        <v>0</v>
      </c>
      <c r="N6" s="1">
        <f>H6+J6+L6</f>
        <v>0</v>
      </c>
      <c r="O6" s="5"/>
      <c r="P6" s="3"/>
      <c r="Q6" s="3"/>
      <c r="R6" s="3"/>
      <c r="S6" s="3"/>
      <c r="T6" s="3"/>
      <c r="U6" s="3"/>
      <c r="V6" s="3"/>
      <c r="W6" s="3"/>
      <c r="X6" s="3"/>
      <c r="Y6" s="35"/>
      <c r="Z6" s="3"/>
      <c r="AA6" s="3"/>
      <c r="AB6" s="35"/>
      <c r="AC6" s="5"/>
      <c r="AD6" s="5"/>
      <c r="AE6" s="5"/>
      <c r="AF6" s="5"/>
      <c r="AG6" s="5"/>
      <c r="AH6" s="6"/>
      <c r="AI6" s="6"/>
      <c r="AJ6" s="6"/>
      <c r="AK6" s="6"/>
      <c r="AL6" s="6"/>
      <c r="AM6" s="6"/>
      <c r="AN6" s="6"/>
      <c r="AO6" s="6"/>
      <c r="AP6" s="6"/>
    </row>
    <row r="7" spans="1:42" ht="12.75" customHeight="1">
      <c r="A7" s="1" t="s">
        <v>238</v>
      </c>
      <c r="B7" s="1" t="s">
        <v>131</v>
      </c>
      <c r="C7" s="11" t="s">
        <v>41</v>
      </c>
      <c r="D7" s="11" t="s">
        <v>320</v>
      </c>
      <c r="E7" s="1"/>
      <c r="F7" s="1"/>
      <c r="G7" s="1"/>
      <c r="H7" s="1"/>
      <c r="I7" s="1"/>
      <c r="J7" s="1"/>
      <c r="K7" s="1"/>
      <c r="L7" s="1"/>
      <c r="M7" s="1">
        <f>G7+I7+K7</f>
        <v>0</v>
      </c>
      <c r="N7" s="1">
        <f>H7+J7+L7</f>
        <v>0</v>
      </c>
      <c r="O7" s="5"/>
      <c r="P7" s="3"/>
      <c r="Q7" s="3"/>
      <c r="R7" s="3"/>
      <c r="S7" s="3"/>
      <c r="T7" s="3"/>
      <c r="U7" s="3"/>
      <c r="V7" s="3"/>
      <c r="W7" s="3"/>
      <c r="X7" s="3"/>
      <c r="Y7" s="35"/>
      <c r="Z7" s="3"/>
      <c r="AA7" s="3"/>
      <c r="AB7" s="35"/>
      <c r="AC7" s="5"/>
      <c r="AD7" s="5"/>
      <c r="AE7" s="5"/>
      <c r="AF7" s="5"/>
      <c r="AG7" s="5"/>
      <c r="AH7" s="6"/>
      <c r="AI7" s="6"/>
      <c r="AJ7" s="6"/>
      <c r="AK7" s="6"/>
      <c r="AL7" s="6"/>
      <c r="AM7" s="6"/>
      <c r="AN7" s="6"/>
      <c r="AO7" s="6"/>
      <c r="AP7" s="6"/>
    </row>
    <row r="8" spans="1:42" ht="12.75" customHeight="1">
      <c r="A8" s="1" t="s">
        <v>239</v>
      </c>
      <c r="B8" s="1" t="s">
        <v>131</v>
      </c>
      <c r="C8" s="11" t="s">
        <v>319</v>
      </c>
      <c r="D8" s="11" t="s">
        <v>41</v>
      </c>
      <c r="E8" s="1"/>
      <c r="F8" s="1"/>
      <c r="G8" s="1"/>
      <c r="H8" s="1"/>
      <c r="I8" s="1"/>
      <c r="J8" s="1"/>
      <c r="K8" s="1"/>
      <c r="L8" s="1"/>
      <c r="M8" s="1">
        <f>G8+I8+K8</f>
        <v>0</v>
      </c>
      <c r="N8" s="1">
        <f>H8+J8+L8</f>
        <v>0</v>
      </c>
      <c r="O8" s="5"/>
      <c r="P8" s="3"/>
      <c r="Q8" s="4" t="s">
        <v>29</v>
      </c>
      <c r="R8" s="3"/>
      <c r="S8" s="3"/>
      <c r="T8" s="3"/>
      <c r="U8" s="3"/>
      <c r="V8" s="3"/>
      <c r="W8" s="3"/>
      <c r="X8" s="3"/>
      <c r="Y8" s="35"/>
      <c r="Z8" s="3"/>
      <c r="AA8" s="3"/>
      <c r="AB8" s="35"/>
      <c r="AC8" s="5"/>
      <c r="AD8" s="5"/>
      <c r="AE8" s="5"/>
      <c r="AF8" s="5"/>
      <c r="AG8" s="5"/>
      <c r="AH8" s="6"/>
      <c r="AI8" s="6"/>
      <c r="AJ8" s="6"/>
      <c r="AK8" s="6"/>
      <c r="AL8" s="6"/>
      <c r="AM8" s="6"/>
      <c r="AN8" s="6"/>
      <c r="AO8" s="6"/>
      <c r="AP8" s="6"/>
    </row>
    <row r="9" spans="1:42" ht="12.75" customHeight="1">
      <c r="A9" s="1" t="s">
        <v>240</v>
      </c>
      <c r="B9" s="1" t="s">
        <v>142</v>
      </c>
      <c r="C9" s="11" t="s">
        <v>319</v>
      </c>
      <c r="D9" s="11" t="s">
        <v>320</v>
      </c>
      <c r="E9" s="1"/>
      <c r="F9" s="1"/>
      <c r="G9" s="1"/>
      <c r="H9" s="1"/>
      <c r="I9" s="1"/>
      <c r="J9" s="1"/>
      <c r="K9" s="1"/>
      <c r="L9" s="1"/>
      <c r="M9" s="1">
        <f>G9+I9+K9</f>
        <v>0</v>
      </c>
      <c r="N9" s="1">
        <f>H9+J9+L9</f>
        <v>0</v>
      </c>
      <c r="O9" s="5"/>
      <c r="P9" s="3"/>
      <c r="Q9" s="7"/>
      <c r="R9" s="3"/>
      <c r="S9" s="3"/>
      <c r="T9" s="3"/>
      <c r="U9" s="3"/>
      <c r="V9" s="3"/>
      <c r="W9" s="3"/>
      <c r="X9" s="3"/>
      <c r="Y9" s="35"/>
      <c r="Z9" s="3"/>
      <c r="AA9" s="3"/>
      <c r="AB9" s="35"/>
      <c r="AC9" s="5"/>
      <c r="AD9" s="5"/>
      <c r="AE9" s="5"/>
      <c r="AF9" s="5"/>
      <c r="AG9" s="5"/>
      <c r="AH9" s="6"/>
      <c r="AI9" s="6"/>
      <c r="AJ9" s="6"/>
      <c r="AK9" s="6"/>
      <c r="AL9" s="6"/>
      <c r="AM9" s="6"/>
      <c r="AN9" s="6"/>
      <c r="AO9" s="6"/>
      <c r="AP9" s="6"/>
    </row>
    <row r="10" spans="1:42" ht="12.75" customHeight="1">
      <c r="A10" s="1" t="s">
        <v>241</v>
      </c>
      <c r="B10" s="1" t="s">
        <v>142</v>
      </c>
      <c r="C10" s="11" t="s">
        <v>320</v>
      </c>
      <c r="D10" s="11" t="s">
        <v>41</v>
      </c>
      <c r="E10" s="1"/>
      <c r="F10" s="1"/>
      <c r="G10" s="1"/>
      <c r="H10" s="1"/>
      <c r="I10" s="1"/>
      <c r="J10" s="1"/>
      <c r="K10" s="1"/>
      <c r="L10" s="1"/>
      <c r="M10" s="1">
        <f>G10+I10+K10</f>
        <v>0</v>
      </c>
      <c r="N10" s="1">
        <f>H10+J10+L10</f>
        <v>0</v>
      </c>
      <c r="O10" s="5"/>
      <c r="P10" s="3"/>
      <c r="Q10" s="3"/>
      <c r="R10" s="3"/>
      <c r="S10" s="3"/>
      <c r="T10" s="3"/>
      <c r="U10" s="3"/>
      <c r="V10" s="3"/>
      <c r="W10" s="3"/>
      <c r="X10" s="3"/>
      <c r="Y10" s="35"/>
      <c r="Z10" s="3"/>
      <c r="AA10" s="3"/>
      <c r="AB10" s="35"/>
      <c r="AC10" s="5"/>
      <c r="AD10" s="5"/>
      <c r="AE10" s="5"/>
      <c r="AF10" s="5"/>
      <c r="AG10" s="5"/>
      <c r="AH10" s="6"/>
      <c r="AI10" s="6"/>
      <c r="AJ10" s="6"/>
      <c r="AK10" s="6"/>
      <c r="AL10" s="6"/>
      <c r="AM10" s="6"/>
      <c r="AN10" s="6"/>
      <c r="AO10" s="6"/>
      <c r="AP10" s="6"/>
    </row>
    <row r="11" spans="1:42" ht="12.75" customHeight="1">
      <c r="A11" s="1" t="s">
        <v>242</v>
      </c>
      <c r="B11" s="1" t="s">
        <v>142</v>
      </c>
      <c r="C11" s="11" t="s">
        <v>41</v>
      </c>
      <c r="D11" s="11" t="s">
        <v>319</v>
      </c>
      <c r="E11" s="1"/>
      <c r="F11" s="1"/>
      <c r="G11" s="1"/>
      <c r="H11" s="1"/>
      <c r="I11" s="1"/>
      <c r="J11" s="1"/>
      <c r="K11" s="1"/>
      <c r="L11" s="1"/>
      <c r="M11" s="1">
        <f>G11+I11+K11</f>
        <v>0</v>
      </c>
      <c r="N11" s="1">
        <f>H11+J11+L11</f>
        <v>0</v>
      </c>
      <c r="O11" s="5"/>
      <c r="P11" s="3"/>
      <c r="Q11" s="3"/>
      <c r="R11" s="3"/>
      <c r="S11" s="3"/>
      <c r="T11" s="3"/>
      <c r="U11" s="3"/>
      <c r="V11" s="3"/>
      <c r="W11" s="3"/>
      <c r="X11" s="3"/>
      <c r="Y11" s="35"/>
      <c r="Z11" s="3"/>
      <c r="AA11" s="3"/>
      <c r="AB11" s="35"/>
      <c r="AC11" s="5"/>
      <c r="AD11" s="5"/>
      <c r="AE11" s="5"/>
      <c r="AF11" s="5"/>
      <c r="AG11" s="5"/>
      <c r="AH11" s="6"/>
      <c r="AI11" s="6"/>
      <c r="AJ11" s="6"/>
      <c r="AK11" s="6"/>
      <c r="AL11" s="6"/>
      <c r="AM11" s="6"/>
      <c r="AN11" s="6"/>
      <c r="AO11" s="6"/>
      <c r="AP11" s="6"/>
    </row>
    <row r="12" spans="1:42" ht="12.75" customHeight="1">
      <c r="A12" s="1" t="s">
        <v>243</v>
      </c>
      <c r="B12" s="1" t="s">
        <v>218</v>
      </c>
      <c r="C12" s="11" t="s">
        <v>320</v>
      </c>
      <c r="D12" s="11" t="s">
        <v>319</v>
      </c>
      <c r="E12" s="1"/>
      <c r="F12" s="1"/>
      <c r="G12" s="1"/>
      <c r="H12" s="1"/>
      <c r="I12" s="1"/>
      <c r="J12" s="1"/>
      <c r="K12" s="1"/>
      <c r="L12" s="1"/>
      <c r="M12" s="1">
        <f>G12+I12+K12</f>
        <v>0</v>
      </c>
      <c r="N12" s="1">
        <f>H12+J12+L12</f>
        <v>0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88"/>
      <c r="Z12" s="6"/>
      <c r="AA12" s="6"/>
      <c r="AB12" s="88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</row>
    <row r="13" spans="1:42" ht="12.75" customHeight="1">
      <c r="A13" s="1" t="s">
        <v>244</v>
      </c>
      <c r="B13" s="1" t="s">
        <v>218</v>
      </c>
      <c r="C13" s="11" t="s">
        <v>41</v>
      </c>
      <c r="D13" s="11" t="s">
        <v>320</v>
      </c>
      <c r="E13" s="1"/>
      <c r="F13" s="1"/>
      <c r="G13" s="1"/>
      <c r="H13" s="1"/>
      <c r="I13" s="1"/>
      <c r="J13" s="1"/>
      <c r="K13" s="1"/>
      <c r="L13" s="1"/>
      <c r="M13" s="1">
        <f>G13+I13+K13</f>
        <v>0</v>
      </c>
      <c r="N13" s="1">
        <f>H13+J13+L13</f>
        <v>0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88"/>
      <c r="Z13" s="6"/>
      <c r="AA13" s="6"/>
      <c r="AB13" s="88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</row>
    <row r="14" spans="1:42" ht="12.75" customHeight="1">
      <c r="A14" s="1" t="s">
        <v>245</v>
      </c>
      <c r="B14" s="1" t="s">
        <v>218</v>
      </c>
      <c r="C14" s="11" t="s">
        <v>319</v>
      </c>
      <c r="D14" s="11" t="s">
        <v>41</v>
      </c>
      <c r="E14" s="1"/>
      <c r="F14" s="1"/>
      <c r="G14" s="1"/>
      <c r="H14" s="1"/>
      <c r="I14" s="1"/>
      <c r="J14" s="1"/>
      <c r="K14" s="1"/>
      <c r="L14" s="1"/>
      <c r="M14" s="1">
        <f>G14+I14+K14</f>
        <v>0</v>
      </c>
      <c r="N14" s="1">
        <f>H14+J14+L14</f>
        <v>0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88"/>
      <c r="Z14" s="6"/>
      <c r="AA14" s="6"/>
      <c r="AB14" s="88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</row>
    <row r="15" spans="1:42" ht="12.75" customHeight="1">
      <c r="A15" s="1" t="s">
        <v>321</v>
      </c>
      <c r="B15" s="1" t="s">
        <v>322</v>
      </c>
      <c r="C15" s="11" t="s">
        <v>319</v>
      </c>
      <c r="D15" s="11" t="s">
        <v>320</v>
      </c>
      <c r="E15" s="1"/>
      <c r="F15" s="1"/>
      <c r="G15" s="1"/>
      <c r="H15" s="1"/>
      <c r="I15" s="1"/>
      <c r="J15" s="1"/>
      <c r="K15" s="1"/>
      <c r="L15" s="1"/>
      <c r="M15" s="1">
        <f>G15+I15+K15</f>
        <v>0</v>
      </c>
      <c r="N15" s="1">
        <f>H15+J15+L15</f>
        <v>0</v>
      </c>
      <c r="O15" s="6"/>
      <c r="P15" s="6"/>
      <c r="Q15" s="6"/>
      <c r="R15" s="6"/>
      <c r="S15" s="6"/>
      <c r="T15" s="6"/>
      <c r="U15" s="6"/>
      <c r="V15" s="6"/>
      <c r="W15" s="6"/>
      <c r="X15" s="38"/>
      <c r="Y15" s="88"/>
      <c r="Z15" s="6"/>
      <c r="AA15" s="6"/>
      <c r="AB15" s="88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</row>
    <row r="16" spans="1:42" ht="12.75" customHeight="1">
      <c r="A16" s="1" t="s">
        <v>323</v>
      </c>
      <c r="B16" s="1" t="s">
        <v>322</v>
      </c>
      <c r="C16" s="11" t="s">
        <v>320</v>
      </c>
      <c r="D16" s="11" t="s">
        <v>41</v>
      </c>
      <c r="E16" s="1"/>
      <c r="F16" s="1"/>
      <c r="G16" s="1"/>
      <c r="H16" s="1"/>
      <c r="I16" s="1"/>
      <c r="J16" s="1"/>
      <c r="K16" s="1"/>
      <c r="L16" s="1"/>
      <c r="M16" s="1">
        <f>G16+I16+K16</f>
        <v>0</v>
      </c>
      <c r="N16" s="1">
        <f>H16+J16+L16</f>
        <v>0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88"/>
      <c r="Z16" s="6"/>
      <c r="AA16" s="6"/>
      <c r="AB16" s="88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</row>
    <row r="17" spans="1:42" ht="12.75" customHeight="1">
      <c r="A17" s="1" t="s">
        <v>324</v>
      </c>
      <c r="B17" s="1" t="s">
        <v>322</v>
      </c>
      <c r="C17" s="11" t="s">
        <v>41</v>
      </c>
      <c r="D17" s="11" t="s">
        <v>319</v>
      </c>
      <c r="E17" s="1"/>
      <c r="F17" s="1"/>
      <c r="G17" s="1"/>
      <c r="H17" s="1"/>
      <c r="I17" s="1"/>
      <c r="J17" s="1"/>
      <c r="K17" s="1"/>
      <c r="L17" s="1"/>
      <c r="M17" s="1">
        <f>G17+I17+K17</f>
        <v>0</v>
      </c>
      <c r="N17" s="1">
        <f>H17+J17+L17</f>
        <v>0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88"/>
      <c r="Z17" s="6"/>
      <c r="AA17" s="6"/>
      <c r="AB17" s="88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</row>
    <row r="18" spans="1:42" ht="12.75" customHeight="1">
      <c r="A18" s="1" t="s">
        <v>325</v>
      </c>
      <c r="B18" s="1" t="s">
        <v>326</v>
      </c>
      <c r="C18" s="11" t="s">
        <v>320</v>
      </c>
      <c r="D18" s="11" t="s">
        <v>319</v>
      </c>
      <c r="E18" s="1"/>
      <c r="F18" s="1"/>
      <c r="G18" s="1"/>
      <c r="H18" s="1"/>
      <c r="I18" s="1"/>
      <c r="J18" s="1"/>
      <c r="K18" s="1"/>
      <c r="L18" s="1"/>
      <c r="M18" s="1">
        <f>G18+I18+K18</f>
        <v>0</v>
      </c>
      <c r="N18" s="1">
        <f>H18+J18+L18</f>
        <v>0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88"/>
      <c r="Z18" s="6"/>
      <c r="AA18" s="6"/>
      <c r="AB18" s="88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</row>
    <row r="19" spans="1:42" ht="12.75" customHeight="1">
      <c r="A19" s="1" t="s">
        <v>327</v>
      </c>
      <c r="B19" s="1" t="s">
        <v>326</v>
      </c>
      <c r="C19" s="11" t="s">
        <v>41</v>
      </c>
      <c r="D19" s="11" t="s">
        <v>320</v>
      </c>
      <c r="E19" s="1"/>
      <c r="F19" s="1"/>
      <c r="G19" s="1"/>
      <c r="H19" s="1"/>
      <c r="I19" s="1"/>
      <c r="J19" s="1"/>
      <c r="K19" s="1"/>
      <c r="L19" s="1"/>
      <c r="M19" s="1">
        <f>G19+I19+K19</f>
        <v>0</v>
      </c>
      <c r="N19" s="1">
        <f>H19+J19+L19</f>
        <v>0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88"/>
      <c r="Z19" s="6"/>
      <c r="AA19" s="6"/>
      <c r="AB19" s="88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</row>
    <row r="20" spans="1:42" ht="12.75" customHeight="1">
      <c r="A20" s="1" t="s">
        <v>328</v>
      </c>
      <c r="B20" s="1" t="s">
        <v>326</v>
      </c>
      <c r="C20" s="11" t="s">
        <v>319</v>
      </c>
      <c r="D20" s="11" t="s">
        <v>41</v>
      </c>
      <c r="E20" s="1"/>
      <c r="F20" s="1"/>
      <c r="G20" s="1"/>
      <c r="H20" s="1"/>
      <c r="I20" s="1"/>
      <c r="J20" s="1"/>
      <c r="K20" s="1"/>
      <c r="L20" s="1"/>
      <c r="M20" s="1">
        <f>G20+I20+K20</f>
        <v>0</v>
      </c>
      <c r="N20" s="1">
        <f>H20+J20+L20</f>
        <v>0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88"/>
      <c r="Z20" s="6"/>
      <c r="AA20" s="6"/>
      <c r="AB20" s="88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</row>
    <row r="21" spans="1:42" ht="12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88"/>
      <c r="Z21" s="6"/>
      <c r="AA21" s="6"/>
      <c r="AB21" s="88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</row>
    <row r="22" spans="1:42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</row>
    <row r="23" spans="1:42" ht="12.7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</row>
    <row r="24" spans="1:42" ht="12.7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</row>
    <row r="25" spans="1:42" ht="12.7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</row>
    <row r="26" spans="1:42" ht="12.7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</row>
    <row r="27" spans="1:42" ht="12.7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</row>
    <row r="28" spans="1:42" ht="12.7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</row>
    <row r="29" spans="1:42" ht="12.7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</row>
    <row r="30" spans="1:42" ht="12.7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</row>
    <row r="31" spans="1:42" ht="12.7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</row>
    <row r="32" spans="1:42" ht="12.7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</row>
    <row r="33" spans="1:42" ht="12.7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</row>
    <row r="34" spans="1:42" ht="12.7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</row>
    <row r="35" spans="1:42" ht="12.7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</row>
    <row r="36" spans="1:42" ht="12.7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</row>
    <row r="37" spans="1:42" ht="12.7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</row>
    <row r="38" spans="1:42" ht="12.7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</row>
    <row r="39" spans="1:42" ht="12.7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</row>
    <row r="40" spans="1:42" ht="12.7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</row>
    <row r="41" spans="1:42" ht="12.7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</row>
    <row r="42" spans="1:42" ht="12.7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</row>
    <row r="43" spans="1:42" ht="12.7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</row>
    <row r="44" spans="1:42" ht="12.7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</row>
    <row r="45" spans="1:42" ht="12.7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</row>
    <row r="46" spans="1:42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</row>
    <row r="47" spans="1:42" ht="12.7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</row>
    <row r="48" spans="1:42" ht="12.7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</row>
    <row r="49" spans="1:42" ht="12.7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</row>
    <row r="50" spans="1:42" ht="12.7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</row>
    <row r="51" spans="1:42" ht="12.7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</row>
    <row r="52" spans="1:42" ht="12.7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</row>
    <row r="53" spans="1:42" ht="12.7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</row>
    <row r="54" spans="1:42" ht="12.7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</row>
    <row r="55" spans="1:42" ht="12.7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</row>
    <row r="56" spans="1:42" ht="12.7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</row>
    <row r="57" spans="1:42" ht="12.7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</row>
    <row r="58" spans="1:42" ht="12.7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</row>
    <row r="59" spans="1:42" ht="12.7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</row>
    <row r="60" spans="1:42" ht="12.7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</row>
    <row r="61" spans="1:42" ht="12.7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</row>
    <row r="62" spans="1:42" ht="12.7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</row>
    <row r="63" spans="1:42" ht="12.7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</row>
    <row r="64" spans="1:42" ht="12.7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</row>
    <row r="65" spans="1:42" ht="12.7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</row>
    <row r="66" spans="1:42" ht="12.7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</row>
    <row r="67" spans="1:42" ht="12.7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</row>
    <row r="68" spans="1:42" ht="12.7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</row>
    <row r="69" spans="1:42" ht="12.7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</row>
    <row r="70" spans="1:42" ht="12.7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</row>
    <row r="71" spans="1:42" ht="12.7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</row>
    <row r="72" spans="1:42" ht="12.7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</row>
    <row r="73" spans="1:42" ht="12.7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</row>
    <row r="74" spans="1:42" ht="12.7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</row>
    <row r="75" spans="1:42" ht="12.7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</row>
    <row r="76" spans="1:42" ht="12.7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</row>
    <row r="77" spans="1:42" ht="12.7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</row>
    <row r="78" spans="1:42" ht="12.7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</row>
    <row r="79" spans="1:42" ht="12.7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</row>
    <row r="80" spans="1:42" ht="12.7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</row>
    <row r="81" spans="1:42" ht="12.7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</row>
    <row r="82" spans="1:42" ht="12.7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</row>
    <row r="83" spans="1:42" ht="12.7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</row>
    <row r="84" spans="1:42" ht="12.7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</row>
    <row r="85" spans="1:42" ht="12.7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</row>
    <row r="86" spans="1:42" ht="12.7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</row>
    <row r="87" spans="1:42" ht="12.7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</row>
    <row r="88" spans="1:42" ht="12.7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</row>
    <row r="89" spans="1:42" ht="12.7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</row>
    <row r="90" spans="1:42" ht="12.7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</row>
    <row r="91" spans="1:42" ht="12.7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</row>
    <row r="92" spans="1:4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</row>
    <row r="93" spans="1:4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</row>
    <row r="94" spans="1:42" ht="12.7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</row>
    <row r="95" spans="1:42" ht="12.7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</row>
    <row r="96" spans="1:42" ht="12.7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</row>
    <row r="97" spans="1:42" ht="12.7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</row>
    <row r="98" spans="1:42" ht="12.7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</row>
    <row r="99" spans="1:42" ht="12.7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</row>
    <row r="100" spans="1:42" ht="12.7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</row>
    <row r="101" spans="1:42" ht="12.7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</row>
    <row r="102" spans="1:42" ht="12.7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</row>
    <row r="103" spans="1:42" ht="12.7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</row>
    <row r="104" spans="1:42" ht="12.7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</row>
    <row r="105" spans="1:42" ht="12.7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</row>
    <row r="106" spans="1:42" ht="12.7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</row>
    <row r="107" spans="1:42" ht="12.7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</row>
    <row r="108" spans="1:42" ht="12.7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</row>
    <row r="109" spans="1:42" ht="12.7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</row>
    <row r="110" spans="1:42" ht="12.7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</row>
    <row r="111" spans="1:42" ht="12.7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</row>
    <row r="112" spans="1:42" ht="12.7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</row>
    <row r="113" spans="1:42" ht="12.7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</row>
    <row r="114" spans="1:42" ht="12.7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</row>
    <row r="115" spans="1:42" ht="12.7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</row>
    <row r="116" spans="1:42" ht="12.7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</row>
    <row r="117" spans="1:42" ht="12.7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</row>
    <row r="118" spans="1:42" ht="12.7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</row>
    <row r="119" spans="1:42" ht="12.7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</row>
    <row r="120" spans="1:42" ht="12.7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</row>
    <row r="121" spans="1:42" ht="12.7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</row>
    <row r="122" spans="1:42" ht="12.7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</row>
    <row r="123" spans="1:42" ht="12.7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</row>
    <row r="124" spans="1:42" ht="12.7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</row>
    <row r="125" spans="1:42" ht="12.7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</row>
    <row r="126" spans="1:42" ht="12.7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</row>
    <row r="127" spans="1:42" ht="12.7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</row>
    <row r="128" spans="1:42" ht="12.75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</row>
    <row r="129" spans="1:42" ht="12.7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</row>
    <row r="130" spans="1:42" ht="12.75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</row>
    <row r="131" spans="1:42" ht="12.75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</row>
    <row r="132" spans="1:42" ht="12.75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</row>
    <row r="133" spans="1:42" ht="12.75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</row>
    <row r="134" spans="1:42" ht="12.75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</row>
    <row r="135" spans="1:42" ht="12.75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</row>
    <row r="136" spans="1:42" ht="12.75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</row>
    <row r="137" spans="1:42" ht="12.75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</row>
    <row r="138" spans="1:42" ht="12.7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</row>
    <row r="139" spans="1:42" ht="12.75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</row>
    <row r="140" spans="1:42" ht="12.75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</row>
    <row r="141" spans="1:42" ht="12.75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</row>
    <row r="142" spans="1:42" ht="12.7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</row>
    <row r="143" spans="1:42" ht="12.75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</row>
    <row r="144" spans="1:42" ht="12.75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</row>
    <row r="145" spans="1:42" ht="12.75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</row>
    <row r="146" spans="1:42" ht="12.75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</row>
    <row r="147" spans="1:42" ht="12.75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</row>
    <row r="148" spans="1:42" ht="12.75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</row>
    <row r="149" spans="1:42" ht="12.75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</row>
    <row r="150" spans="1:42" ht="12.75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</row>
    <row r="151" spans="1:42" ht="12.75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</row>
    <row r="152" spans="1:42" ht="12.75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</row>
    <row r="153" spans="1:42" ht="12.75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</row>
    <row r="154" spans="1:42" ht="12.75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</row>
    <row r="155" spans="1:42" ht="12.75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</row>
    <row r="156" spans="1:42" ht="12.75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</row>
    <row r="157" spans="1:42" ht="12.75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</row>
    <row r="158" spans="1:42" ht="12.75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</row>
    <row r="159" spans="1:42" ht="12.75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</row>
    <row r="160" spans="1:42" ht="12.75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</row>
    <row r="161" spans="1:42" ht="12.75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</row>
    <row r="162" spans="1:42" ht="12.75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</row>
    <row r="163" spans="1:42" ht="12.75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</row>
    <row r="164" spans="1:42" ht="12.75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</row>
    <row r="165" spans="1:42" ht="12.75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</row>
    <row r="166" spans="1:42" ht="12.75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</row>
    <row r="167" spans="1:42" ht="12.75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</row>
    <row r="168" spans="1:42" ht="12.75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</row>
    <row r="169" spans="1:42" ht="12.75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</row>
    <row r="170" spans="1:42" ht="12.75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</row>
    <row r="171" spans="1:42" ht="12.75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</row>
    <row r="172" spans="1:42" ht="12.75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</row>
    <row r="173" spans="1:42" ht="12.75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</row>
    <row r="174" spans="1:42" ht="12.75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</row>
    <row r="175" spans="1:42" ht="12.75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</row>
    <row r="176" spans="1:42" ht="12.75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</row>
    <row r="177" spans="1:42" ht="12.75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</row>
    <row r="178" spans="1:42" ht="12.75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</row>
    <row r="179" spans="1:42" ht="12.75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</row>
    <row r="180" spans="1:42" ht="12.75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</row>
    <row r="181" spans="1:42" ht="12.75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</row>
    <row r="182" spans="1:42" ht="12.75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</row>
    <row r="183" spans="1:42" ht="12.75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</row>
    <row r="184" spans="1:42" ht="12.75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</row>
    <row r="185" spans="1:42" ht="12.75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</row>
    <row r="186" spans="1:42" ht="12.75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</row>
    <row r="187" spans="1:42" ht="12.75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</row>
    <row r="188" spans="1:42" ht="12.75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</row>
    <row r="189" spans="1:42" ht="12.75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</row>
    <row r="190" spans="1:42" ht="12.75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</row>
    <row r="191" spans="1:42" ht="12.75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</row>
    <row r="192" spans="1:42" ht="12.75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</row>
    <row r="193" spans="1:42" ht="12.75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</row>
    <row r="194" spans="1:42" ht="12.75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</row>
    <row r="195" spans="1:42" ht="12.75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</row>
    <row r="196" spans="1:42" ht="12.7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</row>
    <row r="197" spans="1:42" ht="12.75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</row>
    <row r="198" spans="1:42" ht="12.75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</row>
    <row r="199" spans="1:42" ht="12.75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</row>
    <row r="200" spans="1:42" ht="12.75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</row>
    <row r="201" spans="1:42" ht="12.75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</row>
    <row r="202" spans="1:42" ht="12.75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</row>
    <row r="203" spans="1:42" ht="12.75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</row>
    <row r="204" spans="1:42" ht="12.75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</row>
    <row r="205" spans="1:42" ht="12.75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</row>
    <row r="206" spans="1:42" ht="12.75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</row>
    <row r="207" spans="1:42" ht="12.75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</row>
    <row r="208" spans="1:42" ht="12.75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</row>
    <row r="209" spans="1:42" ht="12.75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</row>
    <row r="210" spans="1:42" ht="12.75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</row>
    <row r="211" spans="1:42" ht="12.75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</row>
    <row r="212" spans="1:42" ht="12.75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</row>
    <row r="213" spans="1:42" ht="12.75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</row>
    <row r="214" spans="1:42" ht="12.75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</row>
    <row r="215" spans="1:42" ht="12.75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</row>
    <row r="216" spans="1:42" ht="12.75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</row>
    <row r="217" spans="1:42" ht="12.75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</row>
    <row r="218" spans="1:42" ht="12.75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</row>
    <row r="219" spans="1:42" ht="12.75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</row>
    <row r="220" spans="1:42" ht="12.75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</row>
    <row r="221" spans="1:42" ht="12.75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</row>
    <row r="222" spans="1:42" ht="12.75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</row>
    <row r="223" spans="1:42" ht="12.75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</row>
    <row r="224" spans="1:42" ht="12.75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</row>
    <row r="225" spans="1:42" ht="12.75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</row>
    <row r="226" spans="1:42" ht="12.75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</row>
    <row r="227" spans="1:42" ht="12.75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</row>
    <row r="228" spans="1:42" ht="12.75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</row>
    <row r="229" spans="1:42" ht="12.75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</row>
    <row r="230" spans="1:42" ht="12.75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</row>
    <row r="231" spans="1:42" ht="12.75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</row>
    <row r="232" spans="1:42" ht="12.75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</row>
    <row r="233" spans="1:42" ht="12.75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</row>
    <row r="234" spans="1:42" ht="12.75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</row>
    <row r="235" spans="1:42" ht="12.75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</row>
    <row r="236" spans="1:42" ht="12.75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</row>
    <row r="237" spans="1:42" ht="12.75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</row>
    <row r="238" spans="1:42" ht="12.75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</row>
    <row r="239" spans="1:42" ht="12.75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</row>
    <row r="240" spans="1:42" ht="12.75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</row>
    <row r="241" spans="1:42" ht="12.75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</row>
    <row r="242" spans="1:42" ht="12.75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</row>
    <row r="243" spans="1:42" ht="12.75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</row>
    <row r="244" spans="1:42" ht="12.75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</row>
    <row r="245" spans="1:42" ht="12.75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</row>
    <row r="246" spans="1:42" ht="12.75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</row>
    <row r="247" spans="1:42" ht="12.75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</row>
    <row r="248" spans="1:42" ht="12.75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</row>
    <row r="249" spans="1:42" ht="12.75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</row>
    <row r="250" spans="1:42" ht="12.75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</row>
    <row r="251" spans="1:42" ht="12.75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</row>
    <row r="252" spans="1:42" ht="12.75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</row>
    <row r="253" spans="1:42" ht="12.75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</row>
    <row r="254" spans="1:42" ht="12.75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</row>
    <row r="255" spans="1:42" ht="12.75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</row>
    <row r="256" spans="1:42" ht="12.75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</row>
    <row r="257" spans="1:42" ht="12.75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</row>
    <row r="258" spans="1:42" ht="12.75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</row>
    <row r="259" spans="1:42" ht="12.75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</row>
    <row r="260" spans="1:42" ht="12.75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</row>
    <row r="261" spans="1:42" ht="12.75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</row>
    <row r="262" spans="1:42" ht="12.75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</row>
    <row r="263" spans="1:42" ht="12.75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</row>
    <row r="264" spans="1:42" ht="12.75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</row>
    <row r="265" spans="1:42" ht="12.75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</row>
    <row r="266" spans="1:42" ht="12.75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</row>
    <row r="267" spans="1:42" ht="12.75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</row>
    <row r="268" spans="1:42" ht="12.75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</row>
    <row r="269" spans="1:42" ht="12.75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</row>
    <row r="270" spans="1:42" ht="12.75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</row>
    <row r="271" spans="1:42" ht="12.75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</row>
    <row r="272" spans="1:42" ht="12.75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</row>
    <row r="273" spans="1:42" ht="12.75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</row>
    <row r="274" spans="1:42" ht="12.75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</row>
    <row r="275" spans="1:42" ht="12.75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</row>
    <row r="276" spans="1:42" ht="12.75">
      <c r="A276" s="38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</row>
    <row r="277" spans="1:42" ht="12.75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</row>
    <row r="278" spans="1:42" ht="12.75">
      <c r="A278" s="3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</row>
    <row r="279" spans="1:42" ht="12.75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</row>
    <row r="280" spans="1:42" ht="12.75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</row>
    <row r="281" spans="1:42" ht="12.75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</row>
    <row r="282" spans="1:42" ht="12.75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</row>
    <row r="283" spans="1:42" ht="12.75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</row>
    <row r="284" spans="1:42" ht="12.75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</row>
    <row r="285" spans="1:42" ht="12.75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</row>
    <row r="286" spans="1:42" ht="12.75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</row>
    <row r="287" spans="1:42" ht="12.75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</row>
    <row r="288" spans="1:42" ht="12.75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</row>
    <row r="289" spans="1:42" ht="12.75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</row>
    <row r="290" spans="1:42" ht="12.75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</row>
    <row r="291" spans="1:42" ht="12.75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</row>
    <row r="292" spans="1:42" ht="12.75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</row>
    <row r="293" spans="1:42" ht="12.75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</row>
    <row r="294" spans="1:42" ht="12.75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</row>
    <row r="295" spans="1:42" ht="12.75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</row>
    <row r="296" spans="1:42" ht="12.75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</row>
    <row r="297" spans="1:42" ht="12.75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</row>
    <row r="298" spans="1:42" ht="12.75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</row>
    <row r="299" spans="1:42" ht="12.75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</row>
    <row r="300" spans="1:42" ht="12.75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</row>
    <row r="301" spans="1:42" ht="12.75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</row>
    <row r="302" spans="1:42" ht="12.75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</row>
    <row r="303" spans="1:42" ht="12.75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</row>
    <row r="304" spans="1:42" ht="12.75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</row>
    <row r="305" spans="1:42" ht="12.75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</row>
    <row r="306" spans="1:42" ht="12.75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</row>
    <row r="307" spans="1:42" ht="12.75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</row>
    <row r="308" spans="1:42" ht="12.75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</row>
    <row r="309" spans="1:42" ht="12.75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</row>
    <row r="310" spans="1:42" ht="12.75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</row>
    <row r="311" spans="1:42" ht="12.75">
      <c r="A311" s="38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</row>
    <row r="312" spans="1:42" ht="12.75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</row>
    <row r="313" spans="1:42" ht="12.75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</row>
    <row r="314" spans="1:42" ht="12.75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</row>
    <row r="315" spans="1:42" ht="12.75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</row>
    <row r="316" spans="1:42" ht="12.75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</row>
    <row r="317" spans="1:42" ht="12.75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</row>
    <row r="318" spans="1:42" ht="12.75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</row>
    <row r="319" spans="1:42" ht="12.75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</row>
    <row r="320" spans="1:42" ht="12.75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</row>
    <row r="321" spans="1:42" ht="12.75">
      <c r="A321" s="38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</row>
    <row r="322" spans="1:42" ht="12.75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</row>
    <row r="323" spans="1:42" ht="12.75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</row>
    <row r="324" spans="1:42" ht="12.75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</row>
    <row r="325" spans="1:42" ht="12.75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</row>
    <row r="326" spans="1:42" ht="12.75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</row>
    <row r="327" spans="1:42" ht="12.75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</row>
    <row r="328" spans="1:42" ht="12.75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</row>
    <row r="329" spans="1:42" ht="12.75">
      <c r="A329" s="38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</row>
    <row r="330" spans="1:42" ht="12.75">
      <c r="A330" s="38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</row>
    <row r="331" spans="1:42" ht="12.75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</row>
    <row r="332" spans="1:42" ht="12.75">
      <c r="A332" s="38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</row>
    <row r="333" spans="1:42" ht="12.75">
      <c r="A333" s="38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</row>
    <row r="334" spans="1:42" ht="12.75">
      <c r="A334" s="38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</row>
    <row r="335" spans="1:42" ht="12.75">
      <c r="A335" s="38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</row>
    <row r="336" spans="1:42" ht="12.75">
      <c r="A336" s="38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</row>
    <row r="337" spans="1:42" ht="12.75">
      <c r="A337" s="38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</row>
    <row r="338" spans="1:42" ht="12.75">
      <c r="A338" s="38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</row>
    <row r="339" spans="1:42" ht="12.75">
      <c r="A339" s="38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</row>
    <row r="340" spans="1:42" ht="12.75">
      <c r="A340" s="38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</row>
    <row r="341" spans="1:42" ht="12.75">
      <c r="A341" s="38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</row>
    <row r="342" spans="1:42" ht="12.75">
      <c r="A342" s="38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</row>
    <row r="343" spans="1:42" ht="12.75">
      <c r="A343" s="38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</row>
    <row r="344" spans="1:42" ht="12.75">
      <c r="A344" s="38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</row>
    <row r="345" spans="1:42" ht="12.75">
      <c r="A345" s="38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</row>
    <row r="346" spans="1:42" ht="12.75">
      <c r="A346" s="38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</row>
    <row r="347" spans="1:42" ht="12.75">
      <c r="A347" s="38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</row>
    <row r="348" spans="1:42" ht="12.75">
      <c r="A348" s="38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</row>
    <row r="349" spans="1:42" ht="12.75">
      <c r="A349" s="38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</row>
    <row r="350" spans="1:42" ht="12.75">
      <c r="A350" s="38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</row>
    <row r="351" spans="1:42" ht="12.75">
      <c r="A351" s="38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</row>
    <row r="352" spans="1:42" ht="12.75">
      <c r="A352" s="38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</row>
    <row r="353" spans="1:42" ht="12.75">
      <c r="A353" s="38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</row>
    <row r="354" spans="1:42" ht="12.75">
      <c r="A354" s="38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</row>
    <row r="355" spans="1:42" ht="12.75">
      <c r="A355" s="38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</row>
    <row r="356" spans="1:42" ht="12.75">
      <c r="A356" s="38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</row>
    <row r="357" spans="1:42" ht="12.75">
      <c r="A357" s="38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</row>
    <row r="358" spans="1:42" ht="12.75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</row>
    <row r="359" spans="1:42" ht="12.75">
      <c r="A359" s="38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</row>
    <row r="360" spans="1:42" ht="12.75">
      <c r="A360" s="38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</row>
    <row r="361" spans="1:42" ht="12.75">
      <c r="A361" s="38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</row>
    <row r="362" spans="1:42" ht="12.75">
      <c r="A362" s="38"/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</row>
    <row r="363" spans="1:42" ht="12.75">
      <c r="A363" s="38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</row>
    <row r="364" spans="1:42" ht="12.75">
      <c r="A364" s="38"/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</row>
    <row r="365" spans="1:42" ht="12.75">
      <c r="A365" s="38"/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</row>
    <row r="366" spans="1:42" ht="12.75">
      <c r="A366" s="38"/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</row>
    <row r="367" spans="1:42" ht="12.75">
      <c r="A367" s="38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</row>
    <row r="368" spans="1:42" ht="12.75">
      <c r="A368" s="38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</row>
    <row r="369" spans="1:42" ht="12.75">
      <c r="A369" s="38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</row>
    <row r="370" spans="1:42" ht="12.75">
      <c r="A370" s="38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</row>
    <row r="371" spans="1:42" ht="12.75">
      <c r="A371" s="38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</row>
    <row r="372" spans="1:42" ht="12.75">
      <c r="A372" s="38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</row>
    <row r="373" spans="1:42" ht="12.75">
      <c r="A373" s="38"/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</row>
    <row r="374" spans="1:42" ht="12.75">
      <c r="A374" s="38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</row>
    <row r="375" spans="1:42" ht="12.75">
      <c r="A375" s="38"/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  <c r="AN375" s="38"/>
      <c r="AO375" s="38"/>
      <c r="AP375" s="38"/>
    </row>
    <row r="376" spans="1:42" ht="12.75">
      <c r="A376" s="38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</row>
    <row r="377" spans="1:42" ht="12.75">
      <c r="A377" s="38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</row>
    <row r="378" spans="1:42" ht="12.75">
      <c r="A378" s="38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</row>
    <row r="379" spans="1:42" ht="12.75">
      <c r="A379" s="38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</row>
    <row r="380" spans="1:42" ht="12.75">
      <c r="A380" s="38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</row>
    <row r="381" spans="1:42" ht="12.75">
      <c r="A381" s="38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</row>
    <row r="382" spans="1:42" ht="12.75">
      <c r="A382" s="38"/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</row>
    <row r="383" spans="1:42" ht="12.75">
      <c r="A383" s="38"/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</row>
    <row r="384" spans="1:42" ht="12.75">
      <c r="A384" s="38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</row>
    <row r="385" spans="1:42" ht="12.75">
      <c r="A385" s="38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</row>
    <row r="386" spans="1:42" ht="12.75">
      <c r="A386" s="38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</row>
    <row r="387" spans="1:42" ht="12.75">
      <c r="A387" s="38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  <c r="AN387" s="38"/>
      <c r="AO387" s="38"/>
      <c r="AP387" s="38"/>
    </row>
    <row r="388" spans="1:42" ht="12.75">
      <c r="A388" s="38"/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</row>
    <row r="389" spans="1:42" ht="12.75">
      <c r="A389" s="38"/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</row>
    <row r="390" spans="1:42" ht="12.75">
      <c r="A390" s="38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  <c r="AN390" s="38"/>
      <c r="AO390" s="38"/>
      <c r="AP390" s="38"/>
    </row>
    <row r="391" spans="1:42" ht="12.75">
      <c r="A391" s="38"/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/>
      <c r="AP391" s="38"/>
    </row>
    <row r="392" spans="1:42" ht="12.75">
      <c r="A392" s="38"/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  <c r="AM392" s="38"/>
      <c r="AN392" s="38"/>
      <c r="AO392" s="38"/>
      <c r="AP392" s="38"/>
    </row>
    <row r="393" spans="1:42" ht="12.75">
      <c r="A393" s="38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  <c r="AN393" s="38"/>
      <c r="AO393" s="38"/>
      <c r="AP393" s="38"/>
    </row>
    <row r="394" spans="1:42" ht="12.75">
      <c r="A394" s="38"/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  <c r="AM394" s="38"/>
      <c r="AN394" s="38"/>
      <c r="AO394" s="38"/>
      <c r="AP394" s="38"/>
    </row>
    <row r="395" spans="1:42" ht="12.75">
      <c r="A395" s="38"/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  <c r="AM395" s="38"/>
      <c r="AN395" s="38"/>
      <c r="AO395" s="38"/>
      <c r="AP395" s="38"/>
    </row>
    <row r="396" spans="1:42" ht="12.75">
      <c r="A396" s="38"/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  <c r="AL396" s="38"/>
      <c r="AM396" s="38"/>
      <c r="AN396" s="38"/>
      <c r="AO396" s="38"/>
      <c r="AP396" s="38"/>
    </row>
    <row r="397" spans="1:42" ht="12.75">
      <c r="A397" s="38"/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  <c r="AL397" s="38"/>
      <c r="AM397" s="38"/>
      <c r="AN397" s="38"/>
      <c r="AO397" s="38"/>
      <c r="AP397" s="38"/>
    </row>
    <row r="398" spans="1:42" ht="12.75">
      <c r="A398" s="38"/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8"/>
      <c r="AM398" s="38"/>
      <c r="AN398" s="38"/>
      <c r="AO398" s="38"/>
      <c r="AP398" s="38"/>
    </row>
    <row r="399" spans="1:42" ht="12.75">
      <c r="A399" s="38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  <c r="AN399" s="38"/>
      <c r="AO399" s="38"/>
      <c r="AP399" s="38"/>
    </row>
    <row r="400" spans="1:42" ht="12.75">
      <c r="A400" s="38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38"/>
      <c r="AN400" s="38"/>
      <c r="AO400" s="38"/>
      <c r="AP400" s="38"/>
    </row>
    <row r="401" spans="1:42" ht="12.75">
      <c r="A401" s="38"/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/>
      <c r="AP401" s="38"/>
    </row>
    <row r="402" spans="1:42" ht="12.75">
      <c r="A402" s="38"/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</row>
    <row r="403" spans="1:42" ht="12.75">
      <c r="A403" s="38"/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</row>
    <row r="404" spans="1:42" ht="12.75">
      <c r="A404" s="38"/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</row>
    <row r="405" spans="1:42" ht="12.75">
      <c r="A405" s="38"/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  <c r="AN405" s="38"/>
      <c r="AO405" s="38"/>
      <c r="AP405" s="38"/>
    </row>
    <row r="406" spans="1:42" ht="12.75">
      <c r="A406" s="38"/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  <c r="AN406" s="38"/>
      <c r="AO406" s="38"/>
      <c r="AP406" s="38"/>
    </row>
    <row r="407" spans="1:42" ht="12.75">
      <c r="A407" s="38"/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  <c r="AL407" s="38"/>
      <c r="AM407" s="38"/>
      <c r="AN407" s="38"/>
      <c r="AO407" s="38"/>
      <c r="AP407" s="38"/>
    </row>
    <row r="408" spans="1:42" ht="12.75">
      <c r="A408" s="38"/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  <c r="AN408" s="38"/>
      <c r="AO408" s="38"/>
      <c r="AP408" s="38"/>
    </row>
    <row r="409" spans="1:42" ht="12.75">
      <c r="A409" s="38"/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  <c r="AM409" s="38"/>
      <c r="AN409" s="38"/>
      <c r="AO409" s="38"/>
      <c r="AP409" s="38"/>
    </row>
    <row r="410" spans="1:42" ht="12.75">
      <c r="A410" s="38"/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</row>
    <row r="411" spans="1:42" ht="12.75">
      <c r="A411" s="38"/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  <c r="AL411" s="38"/>
      <c r="AM411" s="38"/>
      <c r="AN411" s="38"/>
      <c r="AO411" s="38"/>
      <c r="AP411" s="38"/>
    </row>
    <row r="412" spans="1:42" ht="12.75">
      <c r="A412" s="38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  <c r="AN412" s="38"/>
      <c r="AO412" s="38"/>
      <c r="AP412" s="38"/>
    </row>
    <row r="413" spans="1:42" ht="12.75">
      <c r="A413" s="38"/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  <c r="AL413" s="38"/>
      <c r="AM413" s="38"/>
      <c r="AN413" s="38"/>
      <c r="AO413" s="38"/>
      <c r="AP413" s="38"/>
    </row>
    <row r="414" spans="1:42" ht="12.75">
      <c r="A414" s="38"/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  <c r="AM414" s="38"/>
      <c r="AN414" s="38"/>
      <c r="AO414" s="38"/>
      <c r="AP414" s="38"/>
    </row>
    <row r="415" spans="1:42" ht="12.75">
      <c r="A415" s="38"/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</row>
    <row r="416" spans="1:42" ht="12.75">
      <c r="A416" s="38"/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  <c r="AM416" s="38"/>
      <c r="AN416" s="38"/>
      <c r="AO416" s="38"/>
      <c r="AP416" s="38"/>
    </row>
    <row r="417" spans="1:42" ht="12.75">
      <c r="A417" s="38"/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</row>
    <row r="418" spans="1:42" ht="12.75">
      <c r="A418" s="38"/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  <c r="AN418" s="38"/>
      <c r="AO418" s="38"/>
      <c r="AP418" s="38"/>
    </row>
    <row r="419" spans="1:42" ht="12.75">
      <c r="A419" s="38"/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/>
      <c r="AP419" s="38"/>
    </row>
    <row r="420" spans="1:42" ht="12.75">
      <c r="A420" s="38"/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  <c r="AN420" s="38"/>
      <c r="AO420" s="38"/>
      <c r="AP420" s="38"/>
    </row>
    <row r="421" spans="1:42" ht="12.75">
      <c r="A421" s="38"/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  <c r="AL421" s="38"/>
      <c r="AM421" s="38"/>
      <c r="AN421" s="38"/>
      <c r="AO421" s="38"/>
      <c r="AP421" s="38"/>
    </row>
    <row r="422" spans="1:42" ht="12.75">
      <c r="A422" s="38"/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  <c r="AN422" s="38"/>
      <c r="AO422" s="38"/>
      <c r="AP422" s="38"/>
    </row>
    <row r="423" spans="1:42" ht="12.75">
      <c r="A423" s="38"/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  <c r="AM423" s="38"/>
      <c r="AN423" s="38"/>
      <c r="AO423" s="38"/>
      <c r="AP423" s="38"/>
    </row>
    <row r="424" spans="1:42" ht="12.75">
      <c r="A424" s="38"/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</row>
    <row r="425" spans="1:42" ht="12.75">
      <c r="A425" s="38"/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</row>
    <row r="426" spans="1:42" ht="12.75">
      <c r="A426" s="38"/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</row>
    <row r="427" spans="1:42" ht="12.75">
      <c r="A427" s="38"/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  <c r="AN427" s="38"/>
      <c r="AO427" s="38"/>
      <c r="AP427" s="38"/>
    </row>
    <row r="428" spans="1:42" ht="12.75">
      <c r="A428" s="38"/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</row>
    <row r="429" spans="1:42" ht="12.75">
      <c r="A429" s="38"/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  <c r="AN429" s="38"/>
      <c r="AO429" s="38"/>
      <c r="AP429" s="38"/>
    </row>
    <row r="430" spans="1:42" ht="12.75">
      <c r="A430" s="38"/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</row>
    <row r="431" spans="1:42" ht="12.75">
      <c r="A431" s="38"/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</row>
    <row r="432" spans="1:42" ht="12.75">
      <c r="A432" s="38"/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  <c r="AN432" s="38"/>
      <c r="AO432" s="38"/>
      <c r="AP432" s="38"/>
    </row>
    <row r="433" spans="1:42" ht="12.75">
      <c r="A433" s="38"/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</row>
    <row r="434" spans="1:42" ht="12.75">
      <c r="A434" s="38"/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</row>
    <row r="435" spans="1:42" ht="12.75">
      <c r="A435" s="38"/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  <c r="AM435" s="38"/>
      <c r="AN435" s="38"/>
      <c r="AO435" s="38"/>
      <c r="AP435" s="38"/>
    </row>
    <row r="436" spans="1:42" ht="12.75">
      <c r="A436" s="38"/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  <c r="AL436" s="38"/>
      <c r="AM436" s="38"/>
      <c r="AN436" s="38"/>
      <c r="AO436" s="38"/>
      <c r="AP436" s="38"/>
    </row>
    <row r="437" spans="1:42" ht="12.75">
      <c r="A437" s="38"/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  <c r="AM437" s="38"/>
      <c r="AN437" s="38"/>
      <c r="AO437" s="38"/>
      <c r="AP437" s="38"/>
    </row>
    <row r="438" spans="1:42" ht="12.75">
      <c r="A438" s="38"/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  <c r="AM438" s="38"/>
      <c r="AN438" s="38"/>
      <c r="AO438" s="38"/>
      <c r="AP438" s="38"/>
    </row>
    <row r="439" spans="1:42" ht="12.75">
      <c r="A439" s="38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</row>
    <row r="440" spans="1:42" ht="12.75">
      <c r="A440" s="38"/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  <c r="AN440" s="38"/>
      <c r="AO440" s="38"/>
      <c r="AP440" s="38"/>
    </row>
    <row r="441" spans="1:42" ht="12.75">
      <c r="A441" s="38"/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8"/>
      <c r="AM441" s="38"/>
      <c r="AN441" s="38"/>
      <c r="AO441" s="38"/>
      <c r="AP441" s="38"/>
    </row>
    <row r="442" spans="1:42" ht="12.75">
      <c r="A442" s="38"/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  <c r="AN442" s="38"/>
      <c r="AO442" s="38"/>
      <c r="AP442" s="38"/>
    </row>
    <row r="443" spans="1:42" ht="12.75">
      <c r="A443" s="38"/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</row>
    <row r="444" spans="1:42" ht="12.75">
      <c r="A444" s="38"/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</row>
    <row r="445" spans="1:42" ht="12.75">
      <c r="A445" s="38"/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  <c r="AL445" s="38"/>
      <c r="AM445" s="38"/>
      <c r="AN445" s="38"/>
      <c r="AO445" s="38"/>
      <c r="AP445" s="38"/>
    </row>
    <row r="446" spans="1:42" ht="12.75">
      <c r="A446" s="38"/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  <c r="AM446" s="38"/>
      <c r="AN446" s="38"/>
      <c r="AO446" s="38"/>
      <c r="AP446" s="38"/>
    </row>
    <row r="447" spans="1:42" ht="12.75">
      <c r="A447" s="38"/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  <c r="AL447" s="38"/>
      <c r="AM447" s="38"/>
      <c r="AN447" s="38"/>
      <c r="AO447" s="38"/>
      <c r="AP447" s="38"/>
    </row>
    <row r="448" spans="1:42" ht="12.75">
      <c r="A448" s="38"/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8"/>
      <c r="AM448" s="38"/>
      <c r="AN448" s="38"/>
      <c r="AO448" s="38"/>
      <c r="AP448" s="38"/>
    </row>
    <row r="449" spans="1:42" ht="12.75">
      <c r="A449" s="38"/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  <c r="AM449" s="38"/>
      <c r="AN449" s="38"/>
      <c r="AO449" s="38"/>
      <c r="AP449" s="38"/>
    </row>
    <row r="450" spans="1:42" ht="12.75">
      <c r="A450" s="38"/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</row>
    <row r="451" spans="1:42" ht="12.75">
      <c r="A451" s="38"/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  <c r="AM451" s="38"/>
      <c r="AN451" s="38"/>
      <c r="AO451" s="38"/>
      <c r="AP451" s="38"/>
    </row>
    <row r="452" spans="1:42" ht="12.75">
      <c r="A452" s="38"/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  <c r="AL452" s="38"/>
      <c r="AM452" s="38"/>
      <c r="AN452" s="38"/>
      <c r="AO452" s="38"/>
      <c r="AP452" s="38"/>
    </row>
    <row r="453" spans="1:42" ht="12.75">
      <c r="A453" s="38"/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  <c r="AL453" s="38"/>
      <c r="AM453" s="38"/>
      <c r="AN453" s="38"/>
      <c r="AO453" s="38"/>
      <c r="AP453" s="38"/>
    </row>
    <row r="454" spans="1:42" ht="12.75">
      <c r="A454" s="38"/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  <c r="AL454" s="38"/>
      <c r="AM454" s="38"/>
      <c r="AN454" s="38"/>
      <c r="AO454" s="38"/>
      <c r="AP454" s="38"/>
    </row>
    <row r="455" spans="1:42" ht="12.75">
      <c r="A455" s="38"/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  <c r="AL455" s="38"/>
      <c r="AM455" s="38"/>
      <c r="AN455" s="38"/>
      <c r="AO455" s="38"/>
      <c r="AP455" s="38"/>
    </row>
    <row r="456" spans="1:42" ht="12.75">
      <c r="A456" s="38"/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  <c r="AM456" s="38"/>
      <c r="AN456" s="38"/>
      <c r="AO456" s="38"/>
      <c r="AP456" s="38"/>
    </row>
    <row r="457" spans="1:42" ht="12.75">
      <c r="A457" s="38"/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</row>
    <row r="458" spans="1:42" ht="12.75">
      <c r="A458" s="38"/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  <c r="AN458" s="38"/>
      <c r="AO458" s="38"/>
      <c r="AP458" s="38"/>
    </row>
    <row r="459" spans="1:42" ht="12.75">
      <c r="A459" s="38"/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  <c r="AM459" s="38"/>
      <c r="AN459" s="38"/>
      <c r="AO459" s="38"/>
      <c r="AP459" s="38"/>
    </row>
    <row r="460" spans="1:42" ht="12.75">
      <c r="A460" s="38"/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</row>
    <row r="461" spans="1:42" ht="12.75">
      <c r="A461" s="38"/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  <c r="AM461" s="38"/>
      <c r="AN461" s="38"/>
      <c r="AO461" s="38"/>
      <c r="AP461" s="38"/>
    </row>
    <row r="462" spans="1:42" ht="12.75">
      <c r="A462" s="38"/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  <c r="AM462" s="38"/>
      <c r="AN462" s="38"/>
      <c r="AO462" s="38"/>
      <c r="AP462" s="38"/>
    </row>
    <row r="463" spans="1:42" ht="12.75">
      <c r="A463" s="38"/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  <c r="AM463" s="38"/>
      <c r="AN463" s="38"/>
      <c r="AO463" s="38"/>
      <c r="AP463" s="38"/>
    </row>
    <row r="464" spans="1:42" ht="12.75">
      <c r="A464" s="38"/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</row>
    <row r="465" spans="1:42" ht="12.75">
      <c r="A465" s="38"/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8"/>
      <c r="AM465" s="38"/>
      <c r="AN465" s="38"/>
      <c r="AO465" s="38"/>
      <c r="AP465" s="38"/>
    </row>
    <row r="466" spans="1:42" ht="12.75">
      <c r="A466" s="38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/>
      <c r="AO466" s="38"/>
      <c r="AP466" s="38"/>
    </row>
    <row r="467" spans="1:42" ht="12.75">
      <c r="A467" s="38"/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</row>
    <row r="468" spans="1:42" ht="12.75">
      <c r="A468" s="38"/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</row>
    <row r="469" spans="1:42" ht="12.75">
      <c r="A469" s="38"/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</row>
    <row r="470" spans="1:42" ht="12.75">
      <c r="A470" s="38"/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</row>
    <row r="471" spans="1:42" ht="12.75">
      <c r="A471" s="38"/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</row>
    <row r="472" spans="1:42" ht="12.75">
      <c r="A472" s="38"/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  <c r="AN472" s="38"/>
      <c r="AO472" s="38"/>
      <c r="AP472" s="38"/>
    </row>
    <row r="473" spans="1:42" ht="12.75">
      <c r="A473" s="38"/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  <c r="AN473" s="38"/>
      <c r="AO473" s="38"/>
      <c r="AP473" s="38"/>
    </row>
    <row r="474" spans="1:42" ht="12.75">
      <c r="A474" s="38"/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8"/>
      <c r="AM474" s="38"/>
      <c r="AN474" s="38"/>
      <c r="AO474" s="38"/>
      <c r="AP474" s="38"/>
    </row>
    <row r="475" spans="1:42" ht="12.75">
      <c r="A475" s="38"/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  <c r="AL475" s="38"/>
      <c r="AM475" s="38"/>
      <c r="AN475" s="38"/>
      <c r="AO475" s="38"/>
      <c r="AP475" s="38"/>
    </row>
    <row r="476" spans="1:42" ht="12.75">
      <c r="A476" s="38"/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  <c r="AM476" s="38"/>
      <c r="AN476" s="38"/>
      <c r="AO476" s="38"/>
      <c r="AP476" s="38"/>
    </row>
    <row r="477" spans="1:42" ht="12.75">
      <c r="A477" s="38"/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  <c r="AN477" s="38"/>
      <c r="AO477" s="38"/>
      <c r="AP477" s="38"/>
    </row>
    <row r="478" spans="1:42" ht="12.75">
      <c r="A478" s="38"/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</row>
    <row r="479" spans="1:42" ht="12.75">
      <c r="A479" s="38"/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</row>
    <row r="480" spans="1:42" ht="12.75">
      <c r="A480" s="38"/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  <c r="AN480" s="38"/>
      <c r="AO480" s="38"/>
      <c r="AP480" s="38"/>
    </row>
    <row r="481" spans="1:42" ht="12.75">
      <c r="A481" s="38"/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  <c r="AM481" s="38"/>
      <c r="AN481" s="38"/>
      <c r="AO481" s="38"/>
      <c r="AP481" s="38"/>
    </row>
    <row r="482" spans="1:42" ht="12.75">
      <c r="A482" s="38"/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/>
      <c r="AO482" s="38"/>
      <c r="AP482" s="38"/>
    </row>
    <row r="483" spans="1:42" ht="12.75">
      <c r="A483" s="38"/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</row>
    <row r="484" spans="1:42" ht="12.75">
      <c r="A484" s="38"/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</row>
    <row r="485" spans="1:42" ht="12.75">
      <c r="A485" s="38"/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</row>
    <row r="486" spans="1:42" ht="12.75">
      <c r="A486" s="38"/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</row>
    <row r="487" spans="1:42" ht="12.75">
      <c r="A487" s="38"/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8"/>
      <c r="AM487" s="38"/>
      <c r="AN487" s="38"/>
      <c r="AO487" s="38"/>
      <c r="AP487" s="38"/>
    </row>
    <row r="488" spans="1:42" ht="12.75">
      <c r="A488" s="38"/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8"/>
      <c r="AM488" s="38"/>
      <c r="AN488" s="38"/>
      <c r="AO488" s="38"/>
      <c r="AP488" s="38"/>
    </row>
    <row r="489" spans="1:42" ht="12.75">
      <c r="A489" s="38"/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  <c r="AM489" s="38"/>
      <c r="AN489" s="38"/>
      <c r="AO489" s="38"/>
      <c r="AP489" s="38"/>
    </row>
    <row r="490" spans="1:42" ht="12.75">
      <c r="A490" s="38"/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  <c r="AM490" s="38"/>
      <c r="AN490" s="38"/>
      <c r="AO490" s="38"/>
      <c r="AP490" s="38"/>
    </row>
    <row r="491" spans="1:42" ht="12.75">
      <c r="A491" s="38"/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  <c r="AM491" s="38"/>
      <c r="AN491" s="38"/>
      <c r="AO491" s="38"/>
      <c r="AP491" s="38"/>
    </row>
    <row r="492" spans="1:42" ht="12.75">
      <c r="A492" s="38"/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  <c r="AL492" s="38"/>
      <c r="AM492" s="38"/>
      <c r="AN492" s="38"/>
      <c r="AO492" s="38"/>
      <c r="AP492" s="38"/>
    </row>
    <row r="493" spans="1:42" ht="12.75">
      <c r="A493" s="38"/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  <c r="AL493" s="38"/>
      <c r="AM493" s="38"/>
      <c r="AN493" s="38"/>
      <c r="AO493" s="38"/>
      <c r="AP493" s="38"/>
    </row>
    <row r="494" spans="1:42" ht="12.75">
      <c r="A494" s="38"/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/>
      <c r="AP494" s="38"/>
    </row>
    <row r="495" spans="1:42" ht="12.75">
      <c r="A495" s="38"/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</row>
    <row r="496" spans="1:42" ht="12.75">
      <c r="A496" s="38"/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  <c r="AL496" s="38"/>
      <c r="AM496" s="38"/>
      <c r="AN496" s="38"/>
      <c r="AO496" s="38"/>
      <c r="AP496" s="38"/>
    </row>
    <row r="497" spans="1:42" ht="12.75">
      <c r="A497" s="38"/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  <c r="AM497" s="38"/>
      <c r="AN497" s="38"/>
      <c r="AO497" s="38"/>
      <c r="AP497" s="38"/>
    </row>
    <row r="498" spans="1:42" ht="12.75">
      <c r="A498" s="38"/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</row>
    <row r="499" spans="1:42" ht="12.75">
      <c r="A499" s="38"/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</row>
    <row r="500" spans="1:42" ht="12.75">
      <c r="A500" s="38"/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  <c r="AL500" s="38"/>
      <c r="AM500" s="38"/>
      <c r="AN500" s="38"/>
      <c r="AO500" s="38"/>
      <c r="AP500" s="38"/>
    </row>
    <row r="501" spans="1:42" ht="12.75">
      <c r="A501" s="38"/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</row>
    <row r="502" spans="1:42" ht="12.75">
      <c r="A502" s="38"/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  <c r="AM502" s="38"/>
      <c r="AN502" s="38"/>
      <c r="AO502" s="38"/>
      <c r="AP502" s="38"/>
    </row>
    <row r="503" spans="1:42" ht="12.75">
      <c r="A503" s="38"/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  <c r="AL503" s="38"/>
      <c r="AM503" s="38"/>
      <c r="AN503" s="38"/>
      <c r="AO503" s="38"/>
      <c r="AP503" s="38"/>
    </row>
    <row r="504" spans="1:42" ht="12.75">
      <c r="A504" s="38"/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</row>
    <row r="505" spans="1:42" ht="12.75">
      <c r="A505" s="38"/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  <c r="AL505" s="38"/>
      <c r="AM505" s="38"/>
      <c r="AN505" s="38"/>
      <c r="AO505" s="38"/>
      <c r="AP505" s="38"/>
    </row>
    <row r="506" spans="1:42" ht="12.75">
      <c r="A506" s="38"/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38"/>
      <c r="AL506" s="38"/>
      <c r="AM506" s="38"/>
      <c r="AN506" s="38"/>
      <c r="AO506" s="38"/>
      <c r="AP506" s="38"/>
    </row>
    <row r="507" spans="1:42" ht="12.75">
      <c r="A507" s="38"/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8"/>
      <c r="AK507" s="38"/>
      <c r="AL507" s="38"/>
      <c r="AM507" s="38"/>
      <c r="AN507" s="38"/>
      <c r="AO507" s="38"/>
      <c r="AP507" s="38"/>
    </row>
    <row r="508" spans="1:42" ht="12.75">
      <c r="A508" s="38"/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38"/>
      <c r="AJ508" s="38"/>
      <c r="AK508" s="38"/>
      <c r="AL508" s="38"/>
      <c r="AM508" s="38"/>
      <c r="AN508" s="38"/>
      <c r="AO508" s="38"/>
      <c r="AP508" s="38"/>
    </row>
    <row r="509" spans="1:42" ht="12.75">
      <c r="A509" s="38"/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/>
      <c r="AL509" s="38"/>
      <c r="AM509" s="38"/>
      <c r="AN509" s="38"/>
      <c r="AO509" s="38"/>
      <c r="AP509" s="38"/>
    </row>
    <row r="510" spans="1:42" ht="12.75">
      <c r="A510" s="38"/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38"/>
      <c r="AJ510" s="38"/>
      <c r="AK510" s="38"/>
      <c r="AL510" s="38"/>
      <c r="AM510" s="38"/>
      <c r="AN510" s="38"/>
      <c r="AO510" s="38"/>
      <c r="AP510" s="38"/>
    </row>
    <row r="511" spans="1:42" ht="12.75">
      <c r="A511" s="38"/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/>
      <c r="AJ511" s="38"/>
      <c r="AK511" s="38"/>
      <c r="AL511" s="38"/>
      <c r="AM511" s="38"/>
      <c r="AN511" s="38"/>
      <c r="AO511" s="38"/>
      <c r="AP511" s="38"/>
    </row>
    <row r="512" spans="1:42" ht="12.75">
      <c r="A512" s="38"/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  <c r="AL512" s="38"/>
      <c r="AM512" s="38"/>
      <c r="AN512" s="38"/>
      <c r="AO512" s="38"/>
      <c r="AP512" s="38"/>
    </row>
    <row r="513" spans="1:42" ht="12.75">
      <c r="A513" s="38"/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  <c r="AL513" s="38"/>
      <c r="AM513" s="38"/>
      <c r="AN513" s="38"/>
      <c r="AO513" s="38"/>
      <c r="AP513" s="38"/>
    </row>
    <row r="514" spans="1:42" ht="12.75">
      <c r="A514" s="38"/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  <c r="AJ514" s="38"/>
      <c r="AK514" s="38"/>
      <c r="AL514" s="38"/>
      <c r="AM514" s="38"/>
      <c r="AN514" s="38"/>
      <c r="AO514" s="38"/>
      <c r="AP514" s="38"/>
    </row>
    <row r="515" spans="1:42" ht="12.75">
      <c r="A515" s="38"/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38"/>
      <c r="AJ515" s="38"/>
      <c r="AK515" s="38"/>
      <c r="AL515" s="38"/>
      <c r="AM515" s="38"/>
      <c r="AN515" s="38"/>
      <c r="AO515" s="38"/>
      <c r="AP515" s="38"/>
    </row>
    <row r="516" spans="1:42" ht="12.75">
      <c r="A516" s="38"/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  <c r="AJ516" s="38"/>
      <c r="AK516" s="38"/>
      <c r="AL516" s="38"/>
      <c r="AM516" s="38"/>
      <c r="AN516" s="38"/>
      <c r="AO516" s="38"/>
      <c r="AP516" s="38"/>
    </row>
    <row r="517" spans="1:42" ht="12.75">
      <c r="A517" s="38"/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38"/>
      <c r="AJ517" s="38"/>
      <c r="AK517" s="38"/>
      <c r="AL517" s="38"/>
      <c r="AM517" s="38"/>
      <c r="AN517" s="38"/>
      <c r="AO517" s="38"/>
      <c r="AP517" s="38"/>
    </row>
    <row r="518" spans="1:42" ht="12.75">
      <c r="A518" s="38"/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  <c r="AL518" s="38"/>
      <c r="AM518" s="38"/>
      <c r="AN518" s="38"/>
      <c r="AO518" s="38"/>
      <c r="AP518" s="38"/>
    </row>
    <row r="519" spans="1:42" ht="12.75">
      <c r="A519" s="38"/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  <c r="AL519" s="38"/>
      <c r="AM519" s="38"/>
      <c r="AN519" s="38"/>
      <c r="AO519" s="38"/>
      <c r="AP519" s="38"/>
    </row>
    <row r="520" spans="1:42" ht="12.75">
      <c r="A520" s="38"/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  <c r="AL520" s="38"/>
      <c r="AM520" s="38"/>
      <c r="AN520" s="38"/>
      <c r="AO520" s="38"/>
      <c r="AP520" s="38"/>
    </row>
    <row r="521" spans="1:42" ht="12.75">
      <c r="A521" s="38"/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38"/>
      <c r="AJ521" s="38"/>
      <c r="AK521" s="38"/>
      <c r="AL521" s="38"/>
      <c r="AM521" s="38"/>
      <c r="AN521" s="38"/>
      <c r="AO521" s="38"/>
      <c r="AP521" s="38"/>
    </row>
    <row r="522" spans="1:42" ht="12.75">
      <c r="A522" s="38"/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38"/>
      <c r="AJ522" s="38"/>
      <c r="AK522" s="38"/>
      <c r="AL522" s="38"/>
      <c r="AM522" s="38"/>
      <c r="AN522" s="38"/>
      <c r="AO522" s="38"/>
      <c r="AP522" s="38"/>
    </row>
    <row r="523" spans="1:42" ht="12.75">
      <c r="A523" s="38"/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38"/>
      <c r="AJ523" s="38"/>
      <c r="AK523" s="38"/>
      <c r="AL523" s="38"/>
      <c r="AM523" s="38"/>
      <c r="AN523" s="38"/>
      <c r="AO523" s="38"/>
      <c r="AP523" s="38"/>
    </row>
    <row r="524" spans="1:42" ht="12.75">
      <c r="A524" s="38"/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  <c r="AJ524" s="38"/>
      <c r="AK524" s="38"/>
      <c r="AL524" s="38"/>
      <c r="AM524" s="38"/>
      <c r="AN524" s="38"/>
      <c r="AO524" s="38"/>
      <c r="AP524" s="38"/>
    </row>
    <row r="525" spans="1:42" ht="12.75">
      <c r="A525" s="38"/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  <c r="AJ525" s="38"/>
      <c r="AK525" s="38"/>
      <c r="AL525" s="38"/>
      <c r="AM525" s="38"/>
      <c r="AN525" s="38"/>
      <c r="AO525" s="38"/>
      <c r="AP525" s="38"/>
    </row>
    <row r="526" spans="1:42" ht="12.75">
      <c r="A526" s="38"/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38"/>
      <c r="AL526" s="38"/>
      <c r="AM526" s="38"/>
      <c r="AN526" s="38"/>
      <c r="AO526" s="38"/>
      <c r="AP526" s="38"/>
    </row>
    <row r="527" spans="1:42" ht="12.75">
      <c r="A527" s="38"/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38"/>
      <c r="AJ527" s="38"/>
      <c r="AK527" s="38"/>
      <c r="AL527" s="38"/>
      <c r="AM527" s="38"/>
      <c r="AN527" s="38"/>
      <c r="AO527" s="38"/>
      <c r="AP527" s="38"/>
    </row>
    <row r="528" spans="1:42" ht="12.75">
      <c r="A528" s="38"/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  <c r="AJ528" s="38"/>
      <c r="AK528" s="38"/>
      <c r="AL528" s="38"/>
      <c r="AM528" s="38"/>
      <c r="AN528" s="38"/>
      <c r="AO528" s="38"/>
      <c r="AP528" s="38"/>
    </row>
    <row r="529" spans="1:42" ht="12.75">
      <c r="A529" s="38"/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8"/>
      <c r="AK529" s="38"/>
      <c r="AL529" s="38"/>
      <c r="AM529" s="38"/>
      <c r="AN529" s="38"/>
      <c r="AO529" s="38"/>
      <c r="AP529" s="38"/>
    </row>
    <row r="530" spans="1:42" ht="12.75">
      <c r="A530" s="38"/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38"/>
      <c r="AJ530" s="38"/>
      <c r="AK530" s="38"/>
      <c r="AL530" s="38"/>
      <c r="AM530" s="38"/>
      <c r="AN530" s="38"/>
      <c r="AO530" s="38"/>
      <c r="AP530" s="38"/>
    </row>
    <row r="531" spans="1:42" ht="12.75">
      <c r="A531" s="38"/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38"/>
      <c r="AK531" s="38"/>
      <c r="AL531" s="38"/>
      <c r="AM531" s="38"/>
      <c r="AN531" s="38"/>
      <c r="AO531" s="38"/>
      <c r="AP531" s="38"/>
    </row>
    <row r="532" spans="1:42" ht="12.75">
      <c r="A532" s="38"/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8"/>
      <c r="AK532" s="38"/>
      <c r="AL532" s="38"/>
      <c r="AM532" s="38"/>
      <c r="AN532" s="38"/>
      <c r="AO532" s="38"/>
      <c r="AP532" s="38"/>
    </row>
    <row r="533" spans="1:42" ht="12.75">
      <c r="A533" s="38"/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  <c r="AJ533" s="38"/>
      <c r="AK533" s="38"/>
      <c r="AL533" s="38"/>
      <c r="AM533" s="38"/>
      <c r="AN533" s="38"/>
      <c r="AO533" s="38"/>
      <c r="AP533" s="38"/>
    </row>
    <row r="534" spans="1:42" ht="12.75">
      <c r="A534" s="38"/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38"/>
      <c r="AJ534" s="38"/>
      <c r="AK534" s="38"/>
      <c r="AL534" s="38"/>
      <c r="AM534" s="38"/>
      <c r="AN534" s="38"/>
      <c r="AO534" s="38"/>
      <c r="AP534" s="38"/>
    </row>
    <row r="535" spans="1:42" ht="12.75">
      <c r="A535" s="38"/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38"/>
      <c r="AL535" s="38"/>
      <c r="AM535" s="38"/>
      <c r="AN535" s="38"/>
      <c r="AO535" s="38"/>
      <c r="AP535" s="38"/>
    </row>
    <row r="536" spans="1:42" ht="12.75">
      <c r="A536" s="38"/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38"/>
      <c r="AL536" s="38"/>
      <c r="AM536" s="38"/>
      <c r="AN536" s="38"/>
      <c r="AO536" s="38"/>
      <c r="AP536" s="38"/>
    </row>
    <row r="537" spans="1:42" ht="12.75">
      <c r="A537" s="38"/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38"/>
      <c r="AJ537" s="38"/>
      <c r="AK537" s="38"/>
      <c r="AL537" s="38"/>
      <c r="AM537" s="38"/>
      <c r="AN537" s="38"/>
      <c r="AO537" s="38"/>
      <c r="AP537" s="38"/>
    </row>
    <row r="538" spans="1:42" ht="12.75">
      <c r="A538" s="38"/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  <c r="AJ538" s="38"/>
      <c r="AK538" s="38"/>
      <c r="AL538" s="38"/>
      <c r="AM538" s="38"/>
      <c r="AN538" s="38"/>
      <c r="AO538" s="38"/>
      <c r="AP538" s="38"/>
    </row>
    <row r="539" spans="1:42" ht="12.75">
      <c r="A539" s="38"/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38"/>
      <c r="AJ539" s="38"/>
      <c r="AK539" s="38"/>
      <c r="AL539" s="38"/>
      <c r="AM539" s="38"/>
      <c r="AN539" s="38"/>
      <c r="AO539" s="38"/>
      <c r="AP539" s="38"/>
    </row>
    <row r="540" spans="1:42" ht="12.75">
      <c r="A540" s="38"/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8"/>
      <c r="AI540" s="38"/>
      <c r="AJ540" s="38"/>
      <c r="AK540" s="38"/>
      <c r="AL540" s="38"/>
      <c r="AM540" s="38"/>
      <c r="AN540" s="38"/>
      <c r="AO540" s="38"/>
      <c r="AP540" s="38"/>
    </row>
    <row r="541" spans="1:42" ht="12.75">
      <c r="A541" s="38"/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  <c r="AJ541" s="38"/>
      <c r="AK541" s="38"/>
      <c r="AL541" s="38"/>
      <c r="AM541" s="38"/>
      <c r="AN541" s="38"/>
      <c r="AO541" s="38"/>
      <c r="AP541" s="38"/>
    </row>
    <row r="542" spans="1:42" ht="12.75">
      <c r="A542" s="38"/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38"/>
      <c r="AL542" s="38"/>
      <c r="AM542" s="38"/>
      <c r="AN542" s="38"/>
      <c r="AO542" s="38"/>
      <c r="AP542" s="38"/>
    </row>
    <row r="543" spans="1:42" ht="12.75">
      <c r="A543" s="38"/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38"/>
      <c r="AL543" s="38"/>
      <c r="AM543" s="38"/>
      <c r="AN543" s="38"/>
      <c r="AO543" s="38"/>
      <c r="AP543" s="38"/>
    </row>
    <row r="544" spans="1:42" ht="12.75">
      <c r="A544" s="38"/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  <c r="AJ544" s="38"/>
      <c r="AK544" s="38"/>
      <c r="AL544" s="38"/>
      <c r="AM544" s="38"/>
      <c r="AN544" s="38"/>
      <c r="AO544" s="38"/>
      <c r="AP544" s="38"/>
    </row>
    <row r="545" spans="1:42" ht="12.75">
      <c r="A545" s="38"/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8"/>
      <c r="AK545" s="38"/>
      <c r="AL545" s="38"/>
      <c r="AM545" s="38"/>
      <c r="AN545" s="38"/>
      <c r="AO545" s="38"/>
      <c r="AP545" s="38"/>
    </row>
    <row r="546" spans="1:42" ht="12.75">
      <c r="A546" s="38"/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  <c r="AJ546" s="38"/>
      <c r="AK546" s="38"/>
      <c r="AL546" s="38"/>
      <c r="AM546" s="38"/>
      <c r="AN546" s="38"/>
      <c r="AO546" s="38"/>
      <c r="AP546" s="38"/>
    </row>
    <row r="547" spans="1:42" ht="12.75">
      <c r="A547" s="38"/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  <c r="AJ547" s="38"/>
      <c r="AK547" s="38"/>
      <c r="AL547" s="38"/>
      <c r="AM547" s="38"/>
      <c r="AN547" s="38"/>
      <c r="AO547" s="38"/>
      <c r="AP547" s="38"/>
    </row>
    <row r="548" spans="1:42" ht="12.75">
      <c r="A548" s="38"/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38"/>
      <c r="AJ548" s="38"/>
      <c r="AK548" s="38"/>
      <c r="AL548" s="38"/>
      <c r="AM548" s="38"/>
      <c r="AN548" s="38"/>
      <c r="AO548" s="38"/>
      <c r="AP548" s="38"/>
    </row>
    <row r="549" spans="1:42" ht="12.75">
      <c r="A549" s="38"/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  <c r="AJ549" s="38"/>
      <c r="AK549" s="38"/>
      <c r="AL549" s="38"/>
      <c r="AM549" s="38"/>
      <c r="AN549" s="38"/>
      <c r="AO549" s="38"/>
      <c r="AP549" s="38"/>
    </row>
    <row r="550" spans="1:42" ht="12.75">
      <c r="A550" s="38"/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</row>
    <row r="551" spans="1:42" ht="12.75">
      <c r="A551" s="38"/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38"/>
      <c r="AJ551" s="38"/>
      <c r="AK551" s="38"/>
      <c r="AL551" s="38"/>
      <c r="AM551" s="38"/>
      <c r="AN551" s="38"/>
      <c r="AO551" s="38"/>
      <c r="AP551" s="38"/>
    </row>
    <row r="552" spans="1:42" ht="12.75">
      <c r="A552" s="38"/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38"/>
      <c r="AI552" s="38"/>
      <c r="AJ552" s="38"/>
      <c r="AK552" s="38"/>
      <c r="AL552" s="38"/>
      <c r="AM552" s="38"/>
      <c r="AN552" s="38"/>
      <c r="AO552" s="38"/>
      <c r="AP552" s="38"/>
    </row>
    <row r="553" spans="1:42" ht="12.75">
      <c r="A553" s="38"/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  <c r="AJ553" s="38"/>
      <c r="AK553" s="38"/>
      <c r="AL553" s="38"/>
      <c r="AM553" s="38"/>
      <c r="AN553" s="38"/>
      <c r="AO553" s="38"/>
      <c r="AP553" s="38"/>
    </row>
    <row r="554" spans="1:42" ht="12.75">
      <c r="A554" s="38"/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</row>
    <row r="555" spans="1:42" ht="12.75">
      <c r="A555" s="38"/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38"/>
      <c r="AI555" s="38"/>
      <c r="AJ555" s="38"/>
      <c r="AK555" s="38"/>
      <c r="AL555" s="38"/>
      <c r="AM555" s="38"/>
      <c r="AN555" s="38"/>
      <c r="AO555" s="38"/>
      <c r="AP555" s="38"/>
    </row>
    <row r="556" spans="1:42" ht="12.75">
      <c r="A556" s="38"/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  <c r="AG556" s="38"/>
      <c r="AH556" s="38"/>
      <c r="AI556" s="38"/>
      <c r="AJ556" s="38"/>
      <c r="AK556" s="38"/>
      <c r="AL556" s="38"/>
      <c r="AM556" s="38"/>
      <c r="AN556" s="38"/>
      <c r="AO556" s="38"/>
      <c r="AP556" s="38"/>
    </row>
    <row r="557" spans="1:42" ht="12.75">
      <c r="A557" s="38"/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38"/>
      <c r="AI557" s="38"/>
      <c r="AJ557" s="38"/>
      <c r="AK557" s="38"/>
      <c r="AL557" s="38"/>
      <c r="AM557" s="38"/>
      <c r="AN557" s="38"/>
      <c r="AO557" s="38"/>
      <c r="AP557" s="38"/>
    </row>
    <row r="558" spans="1:42" ht="12.75">
      <c r="A558" s="38"/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38"/>
      <c r="AJ558" s="38"/>
      <c r="AK558" s="38"/>
      <c r="AL558" s="38"/>
      <c r="AM558" s="38"/>
      <c r="AN558" s="38"/>
      <c r="AO558" s="38"/>
      <c r="AP558" s="38"/>
    </row>
    <row r="559" spans="1:42" ht="12.75">
      <c r="A559" s="38"/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  <c r="AG559" s="38"/>
      <c r="AH559" s="38"/>
      <c r="AI559" s="38"/>
      <c r="AJ559" s="38"/>
      <c r="AK559" s="38"/>
      <c r="AL559" s="38"/>
      <c r="AM559" s="38"/>
      <c r="AN559" s="38"/>
      <c r="AO559" s="38"/>
      <c r="AP559" s="38"/>
    </row>
    <row r="560" spans="1:42" ht="12.75">
      <c r="A560" s="38"/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  <c r="AI560" s="38"/>
      <c r="AJ560" s="38"/>
      <c r="AK560" s="38"/>
      <c r="AL560" s="38"/>
      <c r="AM560" s="38"/>
      <c r="AN560" s="38"/>
      <c r="AO560" s="38"/>
      <c r="AP560" s="38"/>
    </row>
    <row r="561" spans="1:42" ht="12.75">
      <c r="A561" s="38"/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38"/>
      <c r="AJ561" s="38"/>
      <c r="AK561" s="38"/>
      <c r="AL561" s="38"/>
      <c r="AM561" s="38"/>
      <c r="AN561" s="38"/>
      <c r="AO561" s="38"/>
      <c r="AP561" s="38"/>
    </row>
    <row r="562" spans="1:42" ht="12.75">
      <c r="A562" s="38"/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8"/>
      <c r="AI562" s="38"/>
      <c r="AJ562" s="38"/>
      <c r="AK562" s="38"/>
      <c r="AL562" s="38"/>
      <c r="AM562" s="38"/>
      <c r="AN562" s="38"/>
      <c r="AO562" s="38"/>
      <c r="AP562" s="38"/>
    </row>
    <row r="563" spans="1:42" ht="12.75">
      <c r="A563" s="38"/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  <c r="AJ563" s="38"/>
      <c r="AK563" s="38"/>
      <c r="AL563" s="38"/>
      <c r="AM563" s="38"/>
      <c r="AN563" s="38"/>
      <c r="AO563" s="38"/>
      <c r="AP563" s="38"/>
    </row>
    <row r="564" spans="1:42" ht="12.75">
      <c r="A564" s="38"/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/>
      <c r="AJ564" s="38"/>
      <c r="AK564" s="38"/>
      <c r="AL564" s="38"/>
      <c r="AM564" s="38"/>
      <c r="AN564" s="38"/>
      <c r="AO564" s="38"/>
      <c r="AP564" s="38"/>
    </row>
    <row r="565" spans="1:42" ht="12.75">
      <c r="A565" s="38"/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/>
      <c r="AJ565" s="38"/>
      <c r="AK565" s="38"/>
      <c r="AL565" s="38"/>
      <c r="AM565" s="38"/>
      <c r="AN565" s="38"/>
      <c r="AO565" s="38"/>
      <c r="AP565" s="38"/>
    </row>
    <row r="566" spans="1:42" ht="12.75">
      <c r="A566" s="38"/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  <c r="AJ566" s="38"/>
      <c r="AK566" s="38"/>
      <c r="AL566" s="38"/>
      <c r="AM566" s="38"/>
      <c r="AN566" s="38"/>
      <c r="AO566" s="38"/>
      <c r="AP566" s="38"/>
    </row>
    <row r="567" spans="1:42" ht="12.75">
      <c r="A567" s="38"/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  <c r="AG567" s="38"/>
      <c r="AH567" s="38"/>
      <c r="AI567" s="38"/>
      <c r="AJ567" s="38"/>
      <c r="AK567" s="38"/>
      <c r="AL567" s="38"/>
      <c r="AM567" s="38"/>
      <c r="AN567" s="38"/>
      <c r="AO567" s="38"/>
      <c r="AP567" s="38"/>
    </row>
    <row r="568" spans="1:42" ht="12.75">
      <c r="A568" s="38"/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38"/>
      <c r="AI568" s="38"/>
      <c r="AJ568" s="38"/>
      <c r="AK568" s="38"/>
      <c r="AL568" s="38"/>
      <c r="AM568" s="38"/>
      <c r="AN568" s="38"/>
      <c r="AO568" s="38"/>
      <c r="AP568" s="38"/>
    </row>
    <row r="569" spans="1:42" ht="12.75">
      <c r="A569" s="38"/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/>
      <c r="AJ569" s="38"/>
      <c r="AK569" s="38"/>
      <c r="AL569" s="38"/>
      <c r="AM569" s="38"/>
      <c r="AN569" s="38"/>
      <c r="AO569" s="38"/>
      <c r="AP569" s="38"/>
    </row>
    <row r="570" spans="1:42" ht="12.75">
      <c r="A570" s="38"/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  <c r="AG570" s="38"/>
      <c r="AH570" s="38"/>
      <c r="AI570" s="38"/>
      <c r="AJ570" s="38"/>
      <c r="AK570" s="38"/>
      <c r="AL570" s="38"/>
      <c r="AM570" s="38"/>
      <c r="AN570" s="38"/>
      <c r="AO570" s="38"/>
      <c r="AP570" s="38"/>
    </row>
    <row r="571" spans="1:42" ht="12.75">
      <c r="A571" s="38"/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38"/>
      <c r="AJ571" s="38"/>
      <c r="AK571" s="38"/>
      <c r="AL571" s="38"/>
      <c r="AM571" s="38"/>
      <c r="AN571" s="38"/>
      <c r="AO571" s="38"/>
      <c r="AP571" s="38"/>
    </row>
    <row r="572" spans="1:42" ht="12.75">
      <c r="A572" s="38"/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38"/>
      <c r="AJ572" s="38"/>
      <c r="AK572" s="38"/>
      <c r="AL572" s="38"/>
      <c r="AM572" s="38"/>
      <c r="AN572" s="38"/>
      <c r="AO572" s="38"/>
      <c r="AP572" s="38"/>
    </row>
    <row r="573" spans="1:42" ht="12.75">
      <c r="A573" s="38"/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38"/>
      <c r="AI573" s="38"/>
      <c r="AJ573" s="38"/>
      <c r="AK573" s="38"/>
      <c r="AL573" s="38"/>
      <c r="AM573" s="38"/>
      <c r="AN573" s="38"/>
      <c r="AO573" s="38"/>
      <c r="AP573" s="38"/>
    </row>
    <row r="574" spans="1:42" ht="12.75">
      <c r="A574" s="38"/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38"/>
      <c r="AI574" s="38"/>
      <c r="AJ574" s="38"/>
      <c r="AK574" s="38"/>
      <c r="AL574" s="38"/>
      <c r="AM574" s="38"/>
      <c r="AN574" s="38"/>
      <c r="AO574" s="38"/>
      <c r="AP574" s="38"/>
    </row>
    <row r="575" spans="1:42" ht="12.75">
      <c r="A575" s="38"/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  <c r="AG575" s="38"/>
      <c r="AH575" s="38"/>
      <c r="AI575" s="38"/>
      <c r="AJ575" s="38"/>
      <c r="AK575" s="38"/>
      <c r="AL575" s="38"/>
      <c r="AM575" s="38"/>
      <c r="AN575" s="38"/>
      <c r="AO575" s="38"/>
      <c r="AP575" s="38"/>
    </row>
    <row r="576" spans="1:42" ht="12.75">
      <c r="A576" s="38"/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38"/>
      <c r="AJ576" s="38"/>
      <c r="AK576" s="38"/>
      <c r="AL576" s="38"/>
      <c r="AM576" s="38"/>
      <c r="AN576" s="38"/>
      <c r="AO576" s="38"/>
      <c r="AP576" s="38"/>
    </row>
    <row r="577" spans="1:42" ht="12.75">
      <c r="A577" s="38"/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38"/>
      <c r="AL577" s="38"/>
      <c r="AM577" s="38"/>
      <c r="AN577" s="38"/>
      <c r="AO577" s="38"/>
      <c r="AP577" s="38"/>
    </row>
    <row r="578" spans="1:42" ht="12.75">
      <c r="A578" s="38"/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8"/>
      <c r="AI578" s="38"/>
      <c r="AJ578" s="38"/>
      <c r="AK578" s="38"/>
      <c r="AL578" s="38"/>
      <c r="AM578" s="38"/>
      <c r="AN578" s="38"/>
      <c r="AO578" s="38"/>
      <c r="AP578" s="38"/>
    </row>
    <row r="579" spans="1:42" ht="12.75">
      <c r="A579" s="38"/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  <c r="AJ579" s="38"/>
      <c r="AK579" s="38"/>
      <c r="AL579" s="38"/>
      <c r="AM579" s="38"/>
      <c r="AN579" s="38"/>
      <c r="AO579" s="38"/>
      <c r="AP579" s="38"/>
    </row>
    <row r="580" spans="1:42" ht="12.75">
      <c r="A580" s="38"/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8"/>
      <c r="AI580" s="38"/>
      <c r="AJ580" s="38"/>
      <c r="AK580" s="38"/>
      <c r="AL580" s="38"/>
      <c r="AM580" s="38"/>
      <c r="AN580" s="38"/>
      <c r="AO580" s="38"/>
      <c r="AP580" s="38"/>
    </row>
    <row r="581" spans="1:42" ht="12.75">
      <c r="A581" s="38"/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38"/>
      <c r="AJ581" s="38"/>
      <c r="AK581" s="38"/>
      <c r="AL581" s="38"/>
      <c r="AM581" s="38"/>
      <c r="AN581" s="38"/>
      <c r="AO581" s="38"/>
      <c r="AP581" s="38"/>
    </row>
    <row r="582" spans="1:42" ht="12.75">
      <c r="A582" s="38"/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  <c r="AG582" s="38"/>
      <c r="AH582" s="38"/>
      <c r="AI582" s="38"/>
      <c r="AJ582" s="38"/>
      <c r="AK582" s="38"/>
      <c r="AL582" s="38"/>
      <c r="AM582" s="38"/>
      <c r="AN582" s="38"/>
      <c r="AO582" s="38"/>
      <c r="AP582" s="38"/>
    </row>
    <row r="583" spans="1:42" ht="12.75">
      <c r="A583" s="38"/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F583" s="38"/>
      <c r="AG583" s="38"/>
      <c r="AH583" s="38"/>
      <c r="AI583" s="38"/>
      <c r="AJ583" s="38"/>
      <c r="AK583" s="38"/>
      <c r="AL583" s="38"/>
      <c r="AM583" s="38"/>
      <c r="AN583" s="38"/>
      <c r="AO583" s="38"/>
      <c r="AP583" s="38"/>
    </row>
    <row r="584" spans="1:42" ht="12.75">
      <c r="A584" s="38"/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  <c r="AG584" s="38"/>
      <c r="AH584" s="38"/>
      <c r="AI584" s="38"/>
      <c r="AJ584" s="38"/>
      <c r="AK584" s="38"/>
      <c r="AL584" s="38"/>
      <c r="AM584" s="38"/>
      <c r="AN584" s="38"/>
      <c r="AO584" s="38"/>
      <c r="AP584" s="38"/>
    </row>
    <row r="585" spans="1:42" ht="12.75">
      <c r="A585" s="38"/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F585" s="38"/>
      <c r="AG585" s="38"/>
      <c r="AH585" s="38"/>
      <c r="AI585" s="38"/>
      <c r="AJ585" s="38"/>
      <c r="AK585" s="38"/>
      <c r="AL585" s="38"/>
      <c r="AM585" s="38"/>
      <c r="AN585" s="38"/>
      <c r="AO585" s="38"/>
      <c r="AP585" s="38"/>
    </row>
    <row r="586" spans="1:42" ht="12.75">
      <c r="A586" s="38"/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F586" s="38"/>
      <c r="AG586" s="38"/>
      <c r="AH586" s="38"/>
      <c r="AI586" s="38"/>
      <c r="AJ586" s="38"/>
      <c r="AK586" s="38"/>
      <c r="AL586" s="38"/>
      <c r="AM586" s="38"/>
      <c r="AN586" s="38"/>
      <c r="AO586" s="38"/>
      <c r="AP586" s="38"/>
    </row>
    <row r="587" spans="1:42" ht="12.75">
      <c r="A587" s="38"/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  <c r="AG587" s="38"/>
      <c r="AH587" s="38"/>
      <c r="AI587" s="38"/>
      <c r="AJ587" s="38"/>
      <c r="AK587" s="38"/>
      <c r="AL587" s="38"/>
      <c r="AM587" s="38"/>
      <c r="AN587" s="38"/>
      <c r="AO587" s="38"/>
      <c r="AP587" s="38"/>
    </row>
    <row r="588" spans="1:42" ht="12.75">
      <c r="A588" s="38"/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  <c r="AG588" s="38"/>
      <c r="AH588" s="38"/>
      <c r="AI588" s="38"/>
      <c r="AJ588" s="38"/>
      <c r="AK588" s="38"/>
      <c r="AL588" s="38"/>
      <c r="AM588" s="38"/>
      <c r="AN588" s="38"/>
      <c r="AO588" s="38"/>
      <c r="AP588" s="38"/>
    </row>
    <row r="589" spans="1:42" ht="12.75">
      <c r="A589" s="38"/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38"/>
      <c r="AJ589" s="38"/>
      <c r="AK589" s="38"/>
      <c r="AL589" s="38"/>
      <c r="AM589" s="38"/>
      <c r="AN589" s="38"/>
      <c r="AO589" s="38"/>
      <c r="AP589" s="38"/>
    </row>
    <row r="590" spans="1:42" ht="12.75">
      <c r="A590" s="38"/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38"/>
      <c r="AJ590" s="38"/>
      <c r="AK590" s="38"/>
      <c r="AL590" s="38"/>
      <c r="AM590" s="38"/>
      <c r="AN590" s="38"/>
      <c r="AO590" s="38"/>
      <c r="AP590" s="38"/>
    </row>
    <row r="591" spans="1:42" ht="12.75">
      <c r="A591" s="38"/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  <c r="AG591" s="38"/>
      <c r="AH591" s="38"/>
      <c r="AI591" s="38"/>
      <c r="AJ591" s="38"/>
      <c r="AK591" s="38"/>
      <c r="AL591" s="38"/>
      <c r="AM591" s="38"/>
      <c r="AN591" s="38"/>
      <c r="AO591" s="38"/>
      <c r="AP591" s="38"/>
    </row>
    <row r="592" spans="1:42" ht="12.75">
      <c r="A592" s="38"/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38"/>
      <c r="AJ592" s="38"/>
      <c r="AK592" s="38"/>
      <c r="AL592" s="38"/>
      <c r="AM592" s="38"/>
      <c r="AN592" s="38"/>
      <c r="AO592" s="38"/>
      <c r="AP592" s="38"/>
    </row>
    <row r="593" spans="1:42" ht="12.75">
      <c r="A593" s="38"/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  <c r="AG593" s="38"/>
      <c r="AH593" s="38"/>
      <c r="AI593" s="38"/>
      <c r="AJ593" s="38"/>
      <c r="AK593" s="38"/>
      <c r="AL593" s="38"/>
      <c r="AM593" s="38"/>
      <c r="AN593" s="38"/>
      <c r="AO593" s="38"/>
      <c r="AP593" s="38"/>
    </row>
    <row r="594" spans="1:42" ht="12.75">
      <c r="A594" s="38"/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38"/>
      <c r="AI594" s="38"/>
      <c r="AJ594" s="38"/>
      <c r="AK594" s="38"/>
      <c r="AL594" s="38"/>
      <c r="AM594" s="38"/>
      <c r="AN594" s="38"/>
      <c r="AO594" s="38"/>
      <c r="AP594" s="38"/>
    </row>
    <row r="595" spans="1:42" ht="12.75">
      <c r="A595" s="38"/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38"/>
      <c r="AJ595" s="38"/>
      <c r="AK595" s="38"/>
      <c r="AL595" s="38"/>
      <c r="AM595" s="38"/>
      <c r="AN595" s="38"/>
      <c r="AO595" s="38"/>
      <c r="AP595" s="38"/>
    </row>
    <row r="596" spans="1:42" ht="12.75">
      <c r="A596" s="38"/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38"/>
      <c r="AI596" s="38"/>
      <c r="AJ596" s="38"/>
      <c r="AK596" s="38"/>
      <c r="AL596" s="38"/>
      <c r="AM596" s="38"/>
      <c r="AN596" s="38"/>
      <c r="AO596" s="38"/>
      <c r="AP596" s="38"/>
    </row>
    <row r="597" spans="1:42" ht="12.75">
      <c r="A597" s="38"/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  <c r="AJ597" s="38"/>
      <c r="AK597" s="38"/>
      <c r="AL597" s="38"/>
      <c r="AM597" s="38"/>
      <c r="AN597" s="38"/>
      <c r="AO597" s="38"/>
      <c r="AP597" s="38"/>
    </row>
    <row r="598" spans="1:42" ht="12.75">
      <c r="A598" s="38"/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38"/>
      <c r="AJ598" s="38"/>
      <c r="AK598" s="38"/>
      <c r="AL598" s="38"/>
      <c r="AM598" s="38"/>
      <c r="AN598" s="38"/>
      <c r="AO598" s="38"/>
      <c r="AP598" s="38"/>
    </row>
    <row r="599" spans="1:42" ht="12.75">
      <c r="A599" s="38"/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38"/>
      <c r="AJ599" s="38"/>
      <c r="AK599" s="38"/>
      <c r="AL599" s="38"/>
      <c r="AM599" s="38"/>
      <c r="AN599" s="38"/>
      <c r="AO599" s="38"/>
      <c r="AP599" s="38"/>
    </row>
    <row r="600" spans="1:42" ht="12.75">
      <c r="A600" s="38"/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38"/>
      <c r="AJ600" s="38"/>
      <c r="AK600" s="38"/>
      <c r="AL600" s="38"/>
      <c r="AM600" s="38"/>
      <c r="AN600" s="38"/>
      <c r="AO600" s="38"/>
      <c r="AP600" s="38"/>
    </row>
    <row r="601" spans="1:42" ht="12.75">
      <c r="A601" s="38"/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8"/>
      <c r="AI601" s="38"/>
      <c r="AJ601" s="38"/>
      <c r="AK601" s="38"/>
      <c r="AL601" s="38"/>
      <c r="AM601" s="38"/>
      <c r="AN601" s="38"/>
      <c r="AO601" s="38"/>
      <c r="AP601" s="38"/>
    </row>
    <row r="602" spans="1:42" ht="12.75">
      <c r="A602" s="38"/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38"/>
      <c r="AJ602" s="38"/>
      <c r="AK602" s="38"/>
      <c r="AL602" s="38"/>
      <c r="AM602" s="38"/>
      <c r="AN602" s="38"/>
      <c r="AO602" s="38"/>
      <c r="AP602" s="38"/>
    </row>
    <row r="603" spans="1:42" ht="12.75">
      <c r="A603" s="38"/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  <c r="AG603" s="38"/>
      <c r="AH603" s="38"/>
      <c r="AI603" s="38"/>
      <c r="AJ603" s="38"/>
      <c r="AK603" s="38"/>
      <c r="AL603" s="38"/>
      <c r="AM603" s="38"/>
      <c r="AN603" s="38"/>
      <c r="AO603" s="38"/>
      <c r="AP603" s="38"/>
    </row>
    <row r="604" spans="1:42" ht="12.75">
      <c r="A604" s="38"/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F604" s="38"/>
      <c r="AG604" s="38"/>
      <c r="AH604" s="38"/>
      <c r="AI604" s="38"/>
      <c r="AJ604" s="38"/>
      <c r="AK604" s="38"/>
      <c r="AL604" s="38"/>
      <c r="AM604" s="38"/>
      <c r="AN604" s="38"/>
      <c r="AO604" s="38"/>
      <c r="AP604" s="38"/>
    </row>
    <row r="605" spans="1:42" ht="12.75">
      <c r="A605" s="38"/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  <c r="AG605" s="38"/>
      <c r="AH605" s="38"/>
      <c r="AI605" s="38"/>
      <c r="AJ605" s="38"/>
      <c r="AK605" s="38"/>
      <c r="AL605" s="38"/>
      <c r="AM605" s="38"/>
      <c r="AN605" s="38"/>
      <c r="AO605" s="38"/>
      <c r="AP605" s="38"/>
    </row>
    <row r="606" spans="1:42" ht="12.75">
      <c r="A606" s="38"/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38"/>
      <c r="AI606" s="38"/>
      <c r="AJ606" s="38"/>
      <c r="AK606" s="38"/>
      <c r="AL606" s="38"/>
      <c r="AM606" s="38"/>
      <c r="AN606" s="38"/>
      <c r="AO606" s="38"/>
      <c r="AP606" s="38"/>
    </row>
    <row r="607" spans="1:42" ht="12.75">
      <c r="A607" s="38"/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F607" s="38"/>
      <c r="AG607" s="38"/>
      <c r="AH607" s="38"/>
      <c r="AI607" s="38"/>
      <c r="AJ607" s="38"/>
      <c r="AK607" s="38"/>
      <c r="AL607" s="38"/>
      <c r="AM607" s="38"/>
      <c r="AN607" s="38"/>
      <c r="AO607" s="38"/>
      <c r="AP607" s="38"/>
    </row>
    <row r="608" spans="1:42" ht="12.75">
      <c r="A608" s="38"/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38"/>
      <c r="AJ608" s="38"/>
      <c r="AK608" s="38"/>
      <c r="AL608" s="38"/>
      <c r="AM608" s="38"/>
      <c r="AN608" s="38"/>
      <c r="AO608" s="38"/>
      <c r="AP608" s="38"/>
    </row>
    <row r="609" spans="1:42" ht="12.75">
      <c r="A609" s="38"/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38"/>
      <c r="AJ609" s="38"/>
      <c r="AK609" s="38"/>
      <c r="AL609" s="38"/>
      <c r="AM609" s="38"/>
      <c r="AN609" s="38"/>
      <c r="AO609" s="38"/>
      <c r="AP609" s="38"/>
    </row>
    <row r="610" spans="1:42" ht="12.75">
      <c r="A610" s="38"/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38"/>
      <c r="AI610" s="38"/>
      <c r="AJ610" s="38"/>
      <c r="AK610" s="38"/>
      <c r="AL610" s="38"/>
      <c r="AM610" s="38"/>
      <c r="AN610" s="38"/>
      <c r="AO610" s="38"/>
      <c r="AP610" s="38"/>
    </row>
    <row r="611" spans="1:42" ht="12.75">
      <c r="A611" s="38"/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38"/>
      <c r="AJ611" s="38"/>
      <c r="AK611" s="38"/>
      <c r="AL611" s="38"/>
      <c r="AM611" s="38"/>
      <c r="AN611" s="38"/>
      <c r="AO611" s="38"/>
      <c r="AP611" s="38"/>
    </row>
    <row r="612" spans="1:42" ht="12.75">
      <c r="A612" s="38"/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38"/>
      <c r="AJ612" s="38"/>
      <c r="AK612" s="38"/>
      <c r="AL612" s="38"/>
      <c r="AM612" s="38"/>
      <c r="AN612" s="38"/>
      <c r="AO612" s="38"/>
      <c r="AP612" s="38"/>
    </row>
    <row r="613" spans="1:42" ht="12.75">
      <c r="A613" s="38"/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38"/>
      <c r="AJ613" s="38"/>
      <c r="AK613" s="38"/>
      <c r="AL613" s="38"/>
      <c r="AM613" s="38"/>
      <c r="AN613" s="38"/>
      <c r="AO613" s="38"/>
      <c r="AP613" s="38"/>
    </row>
    <row r="614" spans="1:42" ht="12.75">
      <c r="A614" s="38"/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38"/>
      <c r="AJ614" s="38"/>
      <c r="AK614" s="38"/>
      <c r="AL614" s="38"/>
      <c r="AM614" s="38"/>
      <c r="AN614" s="38"/>
      <c r="AO614" s="38"/>
      <c r="AP614" s="38"/>
    </row>
    <row r="615" spans="1:42" ht="12.75">
      <c r="A615" s="38"/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F615" s="38"/>
      <c r="AG615" s="38"/>
      <c r="AH615" s="38"/>
      <c r="AI615" s="38"/>
      <c r="AJ615" s="38"/>
      <c r="AK615" s="38"/>
      <c r="AL615" s="38"/>
      <c r="AM615" s="38"/>
      <c r="AN615" s="38"/>
      <c r="AO615" s="38"/>
      <c r="AP615" s="38"/>
    </row>
    <row r="616" spans="1:42" ht="12.75">
      <c r="A616" s="38"/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38"/>
      <c r="AJ616" s="38"/>
      <c r="AK616" s="38"/>
      <c r="AL616" s="38"/>
      <c r="AM616" s="38"/>
      <c r="AN616" s="38"/>
      <c r="AO616" s="38"/>
      <c r="AP616" s="38"/>
    </row>
    <row r="617" spans="1:42" ht="12.75">
      <c r="A617" s="38"/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38"/>
      <c r="AI617" s="38"/>
      <c r="AJ617" s="38"/>
      <c r="AK617" s="38"/>
      <c r="AL617" s="38"/>
      <c r="AM617" s="38"/>
      <c r="AN617" s="38"/>
      <c r="AO617" s="38"/>
      <c r="AP617" s="38"/>
    </row>
    <row r="618" spans="1:42" ht="12.75">
      <c r="A618" s="38"/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  <c r="AG618" s="38"/>
      <c r="AH618" s="38"/>
      <c r="AI618" s="38"/>
      <c r="AJ618" s="38"/>
      <c r="AK618" s="38"/>
      <c r="AL618" s="38"/>
      <c r="AM618" s="38"/>
      <c r="AN618" s="38"/>
      <c r="AO618" s="38"/>
      <c r="AP618" s="38"/>
    </row>
    <row r="619" spans="1:42" ht="12.75">
      <c r="A619" s="38"/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38"/>
      <c r="AH619" s="38"/>
      <c r="AI619" s="38"/>
      <c r="AJ619" s="38"/>
      <c r="AK619" s="38"/>
      <c r="AL619" s="38"/>
      <c r="AM619" s="38"/>
      <c r="AN619" s="38"/>
      <c r="AO619" s="38"/>
      <c r="AP619" s="38"/>
    </row>
    <row r="620" spans="1:42" ht="12.75">
      <c r="A620" s="38"/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F620" s="38"/>
      <c r="AG620" s="38"/>
      <c r="AH620" s="38"/>
      <c r="AI620" s="38"/>
      <c r="AJ620" s="38"/>
      <c r="AK620" s="38"/>
      <c r="AL620" s="38"/>
      <c r="AM620" s="38"/>
      <c r="AN620" s="38"/>
      <c r="AO620" s="38"/>
      <c r="AP620" s="38"/>
    </row>
    <row r="621" spans="1:42" ht="12.75">
      <c r="A621" s="38"/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  <c r="AG621" s="38"/>
      <c r="AH621" s="38"/>
      <c r="AI621" s="38"/>
      <c r="AJ621" s="38"/>
      <c r="AK621" s="38"/>
      <c r="AL621" s="38"/>
      <c r="AM621" s="38"/>
      <c r="AN621" s="38"/>
      <c r="AO621" s="38"/>
      <c r="AP621" s="38"/>
    </row>
    <row r="622" spans="1:42" ht="12.75">
      <c r="A622" s="38"/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  <c r="AG622" s="38"/>
      <c r="AH622" s="38"/>
      <c r="AI622" s="38"/>
      <c r="AJ622" s="38"/>
      <c r="AK622" s="38"/>
      <c r="AL622" s="38"/>
      <c r="AM622" s="38"/>
      <c r="AN622" s="38"/>
      <c r="AO622" s="38"/>
      <c r="AP622" s="38"/>
    </row>
    <row r="623" spans="1:42" ht="12.75">
      <c r="A623" s="38"/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F623" s="38"/>
      <c r="AG623" s="38"/>
      <c r="AH623" s="38"/>
      <c r="AI623" s="38"/>
      <c r="AJ623" s="38"/>
      <c r="AK623" s="38"/>
      <c r="AL623" s="38"/>
      <c r="AM623" s="38"/>
      <c r="AN623" s="38"/>
      <c r="AO623" s="38"/>
      <c r="AP623" s="38"/>
    </row>
    <row r="624" spans="1:42" ht="12.75">
      <c r="A624" s="38"/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F624" s="38"/>
      <c r="AG624" s="38"/>
      <c r="AH624" s="38"/>
      <c r="AI624" s="38"/>
      <c r="AJ624" s="38"/>
      <c r="AK624" s="38"/>
      <c r="AL624" s="38"/>
      <c r="AM624" s="38"/>
      <c r="AN624" s="38"/>
      <c r="AO624" s="38"/>
      <c r="AP624" s="38"/>
    </row>
    <row r="625" spans="1:42" ht="12.75">
      <c r="A625" s="38"/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F625" s="38"/>
      <c r="AG625" s="38"/>
      <c r="AH625" s="38"/>
      <c r="AI625" s="38"/>
      <c r="AJ625" s="38"/>
      <c r="AK625" s="38"/>
      <c r="AL625" s="38"/>
      <c r="AM625" s="38"/>
      <c r="AN625" s="38"/>
      <c r="AO625" s="38"/>
      <c r="AP625" s="38"/>
    </row>
    <row r="626" spans="1:42" ht="12.75">
      <c r="A626" s="38"/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38"/>
      <c r="AJ626" s="38"/>
      <c r="AK626" s="38"/>
      <c r="AL626" s="38"/>
      <c r="AM626" s="38"/>
      <c r="AN626" s="38"/>
      <c r="AO626" s="38"/>
      <c r="AP626" s="38"/>
    </row>
    <row r="627" spans="1:42" ht="12.75">
      <c r="A627" s="38"/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38"/>
      <c r="AJ627" s="38"/>
      <c r="AK627" s="38"/>
      <c r="AL627" s="38"/>
      <c r="AM627" s="38"/>
      <c r="AN627" s="38"/>
      <c r="AO627" s="38"/>
      <c r="AP627" s="38"/>
    </row>
    <row r="628" spans="1:42" ht="12.75">
      <c r="A628" s="38"/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38"/>
      <c r="AI628" s="38"/>
      <c r="AJ628" s="38"/>
      <c r="AK628" s="38"/>
      <c r="AL628" s="38"/>
      <c r="AM628" s="38"/>
      <c r="AN628" s="38"/>
      <c r="AO628" s="38"/>
      <c r="AP628" s="38"/>
    </row>
    <row r="629" spans="1:42" ht="12.75">
      <c r="A629" s="38"/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38"/>
      <c r="AI629" s="38"/>
      <c r="AJ629" s="38"/>
      <c r="AK629" s="38"/>
      <c r="AL629" s="38"/>
      <c r="AM629" s="38"/>
      <c r="AN629" s="38"/>
      <c r="AO629" s="38"/>
      <c r="AP629" s="38"/>
    </row>
    <row r="630" spans="1:42" ht="12.75">
      <c r="A630" s="38"/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38"/>
      <c r="AJ630" s="38"/>
      <c r="AK630" s="38"/>
      <c r="AL630" s="38"/>
      <c r="AM630" s="38"/>
      <c r="AN630" s="38"/>
      <c r="AO630" s="38"/>
      <c r="AP630" s="38"/>
    </row>
    <row r="631" spans="1:42" ht="12.75">
      <c r="A631" s="38"/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38"/>
      <c r="AJ631" s="38"/>
      <c r="AK631" s="38"/>
      <c r="AL631" s="38"/>
      <c r="AM631" s="38"/>
      <c r="AN631" s="38"/>
      <c r="AO631" s="38"/>
      <c r="AP631" s="38"/>
    </row>
    <row r="632" spans="1:42" ht="12.75">
      <c r="A632" s="38"/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38"/>
      <c r="AJ632" s="38"/>
      <c r="AK632" s="38"/>
      <c r="AL632" s="38"/>
      <c r="AM632" s="38"/>
      <c r="AN632" s="38"/>
      <c r="AO632" s="38"/>
      <c r="AP632" s="38"/>
    </row>
    <row r="633" spans="1:42" ht="12.75">
      <c r="A633" s="38"/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38"/>
      <c r="AI633" s="38"/>
      <c r="AJ633" s="38"/>
      <c r="AK633" s="38"/>
      <c r="AL633" s="38"/>
      <c r="AM633" s="38"/>
      <c r="AN633" s="38"/>
      <c r="AO633" s="38"/>
      <c r="AP633" s="38"/>
    </row>
    <row r="634" spans="1:42" ht="12.75">
      <c r="A634" s="38"/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38"/>
      <c r="AJ634" s="38"/>
      <c r="AK634" s="38"/>
      <c r="AL634" s="38"/>
      <c r="AM634" s="38"/>
      <c r="AN634" s="38"/>
      <c r="AO634" s="38"/>
      <c r="AP634" s="38"/>
    </row>
    <row r="635" spans="1:42" ht="12.75">
      <c r="A635" s="38"/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38"/>
      <c r="AJ635" s="38"/>
      <c r="AK635" s="38"/>
      <c r="AL635" s="38"/>
      <c r="AM635" s="38"/>
      <c r="AN635" s="38"/>
      <c r="AO635" s="38"/>
      <c r="AP635" s="38"/>
    </row>
    <row r="636" spans="1:42" ht="12.75">
      <c r="A636" s="38"/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38"/>
      <c r="AJ636" s="38"/>
      <c r="AK636" s="38"/>
      <c r="AL636" s="38"/>
      <c r="AM636" s="38"/>
      <c r="AN636" s="38"/>
      <c r="AO636" s="38"/>
      <c r="AP636" s="38"/>
    </row>
    <row r="637" spans="1:42" ht="12.75">
      <c r="A637" s="38"/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  <c r="AG637" s="38"/>
      <c r="AH637" s="38"/>
      <c r="AI637" s="38"/>
      <c r="AJ637" s="38"/>
      <c r="AK637" s="38"/>
      <c r="AL637" s="38"/>
      <c r="AM637" s="38"/>
      <c r="AN637" s="38"/>
      <c r="AO637" s="38"/>
      <c r="AP637" s="38"/>
    </row>
    <row r="638" spans="1:42" ht="12.75">
      <c r="A638" s="38"/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F638" s="38"/>
      <c r="AG638" s="38"/>
      <c r="AH638" s="38"/>
      <c r="AI638" s="38"/>
      <c r="AJ638" s="38"/>
      <c r="AK638" s="38"/>
      <c r="AL638" s="38"/>
      <c r="AM638" s="38"/>
      <c r="AN638" s="38"/>
      <c r="AO638" s="38"/>
      <c r="AP638" s="38"/>
    </row>
    <row r="639" spans="1:42" ht="12.75">
      <c r="A639" s="38"/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F639" s="38"/>
      <c r="AG639" s="38"/>
      <c r="AH639" s="38"/>
      <c r="AI639" s="38"/>
      <c r="AJ639" s="38"/>
      <c r="AK639" s="38"/>
      <c r="AL639" s="38"/>
      <c r="AM639" s="38"/>
      <c r="AN639" s="38"/>
      <c r="AO639" s="38"/>
      <c r="AP639" s="38"/>
    </row>
    <row r="640" spans="1:42" ht="12.75">
      <c r="A640" s="38"/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F640" s="38"/>
      <c r="AG640" s="38"/>
      <c r="AH640" s="38"/>
      <c r="AI640" s="38"/>
      <c r="AJ640" s="38"/>
      <c r="AK640" s="38"/>
      <c r="AL640" s="38"/>
      <c r="AM640" s="38"/>
      <c r="AN640" s="38"/>
      <c r="AO640" s="38"/>
      <c r="AP640" s="38"/>
    </row>
    <row r="641" spans="1:42" ht="12.75">
      <c r="A641" s="38"/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38"/>
      <c r="AJ641" s="38"/>
      <c r="AK641" s="38"/>
      <c r="AL641" s="38"/>
      <c r="AM641" s="38"/>
      <c r="AN641" s="38"/>
      <c r="AO641" s="38"/>
      <c r="AP641" s="38"/>
    </row>
    <row r="642" spans="1:42" ht="12.75">
      <c r="A642" s="38"/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F642" s="38"/>
      <c r="AG642" s="38"/>
      <c r="AH642" s="38"/>
      <c r="AI642" s="38"/>
      <c r="AJ642" s="38"/>
      <c r="AK642" s="38"/>
      <c r="AL642" s="38"/>
      <c r="AM642" s="38"/>
      <c r="AN642" s="38"/>
      <c r="AO642" s="38"/>
      <c r="AP642" s="38"/>
    </row>
    <row r="643" spans="1:42" ht="12.75">
      <c r="A643" s="38"/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38"/>
      <c r="AJ643" s="38"/>
      <c r="AK643" s="38"/>
      <c r="AL643" s="38"/>
      <c r="AM643" s="38"/>
      <c r="AN643" s="38"/>
      <c r="AO643" s="38"/>
      <c r="AP643" s="38"/>
    </row>
    <row r="644" spans="1:42" ht="12.75">
      <c r="A644" s="38"/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F644" s="38"/>
      <c r="AG644" s="38"/>
      <c r="AH644" s="38"/>
      <c r="AI644" s="38"/>
      <c r="AJ644" s="38"/>
      <c r="AK644" s="38"/>
      <c r="AL644" s="38"/>
      <c r="AM644" s="38"/>
      <c r="AN644" s="38"/>
      <c r="AO644" s="38"/>
      <c r="AP644" s="38"/>
    </row>
    <row r="645" spans="1:42" ht="12.75">
      <c r="A645" s="38"/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  <c r="AJ645" s="38"/>
      <c r="AK645" s="38"/>
      <c r="AL645" s="38"/>
      <c r="AM645" s="38"/>
      <c r="AN645" s="38"/>
      <c r="AO645" s="38"/>
      <c r="AP645" s="38"/>
    </row>
    <row r="646" spans="1:42" ht="12.75">
      <c r="A646" s="38"/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38"/>
      <c r="AJ646" s="38"/>
      <c r="AK646" s="38"/>
      <c r="AL646" s="38"/>
      <c r="AM646" s="38"/>
      <c r="AN646" s="38"/>
      <c r="AO646" s="38"/>
      <c r="AP646" s="38"/>
    </row>
    <row r="647" spans="1:42" ht="12.75">
      <c r="A647" s="38"/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38"/>
      <c r="AJ647" s="38"/>
      <c r="AK647" s="38"/>
      <c r="AL647" s="38"/>
      <c r="AM647" s="38"/>
      <c r="AN647" s="38"/>
      <c r="AO647" s="38"/>
      <c r="AP647" s="38"/>
    </row>
    <row r="648" spans="1:42" ht="12.75">
      <c r="A648" s="38"/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38"/>
      <c r="AJ648" s="38"/>
      <c r="AK648" s="38"/>
      <c r="AL648" s="38"/>
      <c r="AM648" s="38"/>
      <c r="AN648" s="38"/>
      <c r="AO648" s="38"/>
      <c r="AP648" s="38"/>
    </row>
    <row r="649" spans="1:42" ht="12.75">
      <c r="A649" s="38"/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38"/>
      <c r="AJ649" s="38"/>
      <c r="AK649" s="38"/>
      <c r="AL649" s="38"/>
      <c r="AM649" s="38"/>
      <c r="AN649" s="38"/>
      <c r="AO649" s="38"/>
      <c r="AP649" s="38"/>
    </row>
    <row r="650" spans="1:42" ht="12.75">
      <c r="A650" s="38"/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38"/>
      <c r="AJ650" s="38"/>
      <c r="AK650" s="38"/>
      <c r="AL650" s="38"/>
      <c r="AM650" s="38"/>
      <c r="AN650" s="38"/>
      <c r="AO650" s="38"/>
      <c r="AP650" s="38"/>
    </row>
    <row r="651" spans="1:42" ht="12.75">
      <c r="A651" s="38"/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38"/>
      <c r="AJ651" s="38"/>
      <c r="AK651" s="38"/>
      <c r="AL651" s="38"/>
      <c r="AM651" s="38"/>
      <c r="AN651" s="38"/>
      <c r="AO651" s="38"/>
      <c r="AP651" s="38"/>
    </row>
    <row r="652" spans="1:42" ht="12.75">
      <c r="A652" s="38"/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F652" s="38"/>
      <c r="AG652" s="38"/>
      <c r="AH652" s="38"/>
      <c r="AI652" s="38"/>
      <c r="AJ652" s="38"/>
      <c r="AK652" s="38"/>
      <c r="AL652" s="38"/>
      <c r="AM652" s="38"/>
      <c r="AN652" s="38"/>
      <c r="AO652" s="38"/>
      <c r="AP652" s="38"/>
    </row>
    <row r="653" spans="1:42" ht="12.75">
      <c r="A653" s="38"/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38"/>
      <c r="AJ653" s="38"/>
      <c r="AK653" s="38"/>
      <c r="AL653" s="38"/>
      <c r="AM653" s="38"/>
      <c r="AN653" s="38"/>
      <c r="AO653" s="38"/>
      <c r="AP653" s="38"/>
    </row>
    <row r="654" spans="1:42" ht="12.75">
      <c r="A654" s="38"/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38"/>
      <c r="AJ654" s="38"/>
      <c r="AK654" s="38"/>
      <c r="AL654" s="38"/>
      <c r="AM654" s="38"/>
      <c r="AN654" s="38"/>
      <c r="AO654" s="38"/>
      <c r="AP654" s="38"/>
    </row>
    <row r="655" spans="1:42" ht="12.75">
      <c r="A655" s="38"/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38"/>
      <c r="AI655" s="38"/>
      <c r="AJ655" s="38"/>
      <c r="AK655" s="38"/>
      <c r="AL655" s="38"/>
      <c r="AM655" s="38"/>
      <c r="AN655" s="38"/>
      <c r="AO655" s="38"/>
      <c r="AP655" s="38"/>
    </row>
    <row r="656" spans="1:42" ht="12.75">
      <c r="A656" s="38"/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38"/>
      <c r="AJ656" s="38"/>
      <c r="AK656" s="38"/>
      <c r="AL656" s="38"/>
      <c r="AM656" s="38"/>
      <c r="AN656" s="38"/>
      <c r="AO656" s="38"/>
      <c r="AP656" s="38"/>
    </row>
    <row r="657" spans="1:42" ht="12.75">
      <c r="A657" s="38"/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38"/>
      <c r="AJ657" s="38"/>
      <c r="AK657" s="38"/>
      <c r="AL657" s="38"/>
      <c r="AM657" s="38"/>
      <c r="AN657" s="38"/>
      <c r="AO657" s="38"/>
      <c r="AP657" s="38"/>
    </row>
    <row r="658" spans="1:42" ht="12.75">
      <c r="A658" s="38"/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38"/>
      <c r="AJ658" s="38"/>
      <c r="AK658" s="38"/>
      <c r="AL658" s="38"/>
      <c r="AM658" s="38"/>
      <c r="AN658" s="38"/>
      <c r="AO658" s="38"/>
      <c r="AP658" s="38"/>
    </row>
    <row r="659" spans="1:42" ht="12.75">
      <c r="A659" s="38"/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F659" s="38"/>
      <c r="AG659" s="38"/>
      <c r="AH659" s="38"/>
      <c r="AI659" s="38"/>
      <c r="AJ659" s="38"/>
      <c r="AK659" s="38"/>
      <c r="AL659" s="38"/>
      <c r="AM659" s="38"/>
      <c r="AN659" s="38"/>
      <c r="AO659" s="38"/>
      <c r="AP659" s="38"/>
    </row>
    <row r="660" spans="1:42" ht="12.75">
      <c r="A660" s="38"/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38"/>
      <c r="AJ660" s="38"/>
      <c r="AK660" s="38"/>
      <c r="AL660" s="38"/>
      <c r="AM660" s="38"/>
      <c r="AN660" s="38"/>
      <c r="AO660" s="38"/>
      <c r="AP660" s="38"/>
    </row>
    <row r="661" spans="1:42" ht="12.75">
      <c r="A661" s="38"/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38"/>
      <c r="AJ661" s="38"/>
      <c r="AK661" s="38"/>
      <c r="AL661" s="38"/>
      <c r="AM661" s="38"/>
      <c r="AN661" s="38"/>
      <c r="AO661" s="38"/>
      <c r="AP661" s="38"/>
    </row>
    <row r="662" spans="1:42" ht="12.75">
      <c r="A662" s="38"/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38"/>
      <c r="AJ662" s="38"/>
      <c r="AK662" s="38"/>
      <c r="AL662" s="38"/>
      <c r="AM662" s="38"/>
      <c r="AN662" s="38"/>
      <c r="AO662" s="38"/>
      <c r="AP662" s="38"/>
    </row>
    <row r="663" spans="1:42" ht="12.75">
      <c r="A663" s="38"/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38"/>
      <c r="AJ663" s="38"/>
      <c r="AK663" s="38"/>
      <c r="AL663" s="38"/>
      <c r="AM663" s="38"/>
      <c r="AN663" s="38"/>
      <c r="AO663" s="38"/>
      <c r="AP663" s="38"/>
    </row>
    <row r="664" spans="1:42" ht="12.75">
      <c r="A664" s="38"/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F664" s="38"/>
      <c r="AG664" s="38"/>
      <c r="AH664" s="38"/>
      <c r="AI664" s="38"/>
      <c r="AJ664" s="38"/>
      <c r="AK664" s="38"/>
      <c r="AL664" s="38"/>
      <c r="AM664" s="38"/>
      <c r="AN664" s="38"/>
      <c r="AO664" s="38"/>
      <c r="AP664" s="38"/>
    </row>
    <row r="665" spans="1:42" ht="12.75">
      <c r="A665" s="38"/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F665" s="38"/>
      <c r="AG665" s="38"/>
      <c r="AH665" s="38"/>
      <c r="AI665" s="38"/>
      <c r="AJ665" s="38"/>
      <c r="AK665" s="38"/>
      <c r="AL665" s="38"/>
      <c r="AM665" s="38"/>
      <c r="AN665" s="38"/>
      <c r="AO665" s="38"/>
      <c r="AP665" s="38"/>
    </row>
    <row r="666" spans="1:42" ht="12.75">
      <c r="A666" s="38"/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F666" s="38"/>
      <c r="AG666" s="38"/>
      <c r="AH666" s="38"/>
      <c r="AI666" s="38"/>
      <c r="AJ666" s="38"/>
      <c r="AK666" s="38"/>
      <c r="AL666" s="38"/>
      <c r="AM666" s="38"/>
      <c r="AN666" s="38"/>
      <c r="AO666" s="38"/>
      <c r="AP666" s="38"/>
    </row>
    <row r="667" spans="1:42" ht="12.75">
      <c r="A667" s="38"/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F667" s="38"/>
      <c r="AG667" s="38"/>
      <c r="AH667" s="38"/>
      <c r="AI667" s="38"/>
      <c r="AJ667" s="38"/>
      <c r="AK667" s="38"/>
      <c r="AL667" s="38"/>
      <c r="AM667" s="38"/>
      <c r="AN667" s="38"/>
      <c r="AO667" s="38"/>
      <c r="AP667" s="38"/>
    </row>
    <row r="668" spans="1:42" ht="12.75">
      <c r="A668" s="38"/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38"/>
      <c r="AH668" s="38"/>
      <c r="AI668" s="38"/>
      <c r="AJ668" s="38"/>
      <c r="AK668" s="38"/>
      <c r="AL668" s="38"/>
      <c r="AM668" s="38"/>
      <c r="AN668" s="38"/>
      <c r="AO668" s="38"/>
      <c r="AP668" s="38"/>
    </row>
    <row r="669" spans="1:42" ht="12.75">
      <c r="A669" s="38"/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38"/>
      <c r="AI669" s="38"/>
      <c r="AJ669" s="38"/>
      <c r="AK669" s="38"/>
      <c r="AL669" s="38"/>
      <c r="AM669" s="38"/>
      <c r="AN669" s="38"/>
      <c r="AO669" s="38"/>
      <c r="AP669" s="38"/>
    </row>
    <row r="670" spans="1:42" ht="12.75">
      <c r="A670" s="38"/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F670" s="38"/>
      <c r="AG670" s="38"/>
      <c r="AH670" s="38"/>
      <c r="AI670" s="38"/>
      <c r="AJ670" s="38"/>
      <c r="AK670" s="38"/>
      <c r="AL670" s="38"/>
      <c r="AM670" s="38"/>
      <c r="AN670" s="38"/>
      <c r="AO670" s="38"/>
      <c r="AP670" s="38"/>
    </row>
    <row r="671" spans="1:42" ht="12.75">
      <c r="A671" s="38"/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38"/>
      <c r="AI671" s="38"/>
      <c r="AJ671" s="38"/>
      <c r="AK671" s="38"/>
      <c r="AL671" s="38"/>
      <c r="AM671" s="38"/>
      <c r="AN671" s="38"/>
      <c r="AO671" s="38"/>
      <c r="AP671" s="38"/>
    </row>
    <row r="672" spans="1:42" ht="12.75">
      <c r="A672" s="38"/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F672" s="38"/>
      <c r="AG672" s="38"/>
      <c r="AH672" s="38"/>
      <c r="AI672" s="38"/>
      <c r="AJ672" s="38"/>
      <c r="AK672" s="38"/>
      <c r="AL672" s="38"/>
      <c r="AM672" s="38"/>
      <c r="AN672" s="38"/>
      <c r="AO672" s="38"/>
      <c r="AP672" s="38"/>
    </row>
    <row r="673" spans="1:42" ht="12.75">
      <c r="A673" s="38"/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F673" s="38"/>
      <c r="AG673" s="38"/>
      <c r="AH673" s="38"/>
      <c r="AI673" s="38"/>
      <c r="AJ673" s="38"/>
      <c r="AK673" s="38"/>
      <c r="AL673" s="38"/>
      <c r="AM673" s="38"/>
      <c r="AN673" s="38"/>
      <c r="AO673" s="38"/>
      <c r="AP673" s="38"/>
    </row>
    <row r="674" spans="1:42" ht="12.75">
      <c r="A674" s="38"/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F674" s="38"/>
      <c r="AG674" s="38"/>
      <c r="AH674" s="38"/>
      <c r="AI674" s="38"/>
      <c r="AJ674" s="38"/>
      <c r="AK674" s="38"/>
      <c r="AL674" s="38"/>
      <c r="AM674" s="38"/>
      <c r="AN674" s="38"/>
      <c r="AO674" s="38"/>
      <c r="AP674" s="38"/>
    </row>
    <row r="675" spans="1:42" ht="12.75">
      <c r="A675" s="38"/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38"/>
      <c r="AJ675" s="38"/>
      <c r="AK675" s="38"/>
      <c r="AL675" s="38"/>
      <c r="AM675" s="38"/>
      <c r="AN675" s="38"/>
      <c r="AO675" s="38"/>
      <c r="AP675" s="38"/>
    </row>
    <row r="676" spans="1:42" ht="12.75">
      <c r="A676" s="38"/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38"/>
      <c r="AJ676" s="38"/>
      <c r="AK676" s="38"/>
      <c r="AL676" s="38"/>
      <c r="AM676" s="38"/>
      <c r="AN676" s="38"/>
      <c r="AO676" s="38"/>
      <c r="AP676" s="38"/>
    </row>
    <row r="677" spans="1:42" ht="12.75">
      <c r="A677" s="38"/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38"/>
      <c r="AI677" s="38"/>
      <c r="AJ677" s="38"/>
      <c r="AK677" s="38"/>
      <c r="AL677" s="38"/>
      <c r="AM677" s="38"/>
      <c r="AN677" s="38"/>
      <c r="AO677" s="38"/>
      <c r="AP677" s="38"/>
    </row>
    <row r="678" spans="1:42" ht="12.75">
      <c r="A678" s="38"/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38"/>
      <c r="AJ678" s="38"/>
      <c r="AK678" s="38"/>
      <c r="AL678" s="38"/>
      <c r="AM678" s="38"/>
      <c r="AN678" s="38"/>
      <c r="AO678" s="38"/>
      <c r="AP678" s="38"/>
    </row>
    <row r="679" spans="1:42" ht="12.75">
      <c r="A679" s="38"/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38"/>
      <c r="AJ679" s="38"/>
      <c r="AK679" s="38"/>
      <c r="AL679" s="38"/>
      <c r="AM679" s="38"/>
      <c r="AN679" s="38"/>
      <c r="AO679" s="38"/>
      <c r="AP679" s="38"/>
    </row>
    <row r="680" spans="1:42" ht="12.75">
      <c r="A680" s="38"/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38"/>
      <c r="AJ680" s="38"/>
      <c r="AK680" s="38"/>
      <c r="AL680" s="38"/>
      <c r="AM680" s="38"/>
      <c r="AN680" s="38"/>
      <c r="AO680" s="38"/>
      <c r="AP680" s="38"/>
    </row>
    <row r="681" spans="1:42" ht="12.75">
      <c r="A681" s="38"/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F681" s="38"/>
      <c r="AG681" s="38"/>
      <c r="AH681" s="38"/>
      <c r="AI681" s="38"/>
      <c r="AJ681" s="38"/>
      <c r="AK681" s="38"/>
      <c r="AL681" s="38"/>
      <c r="AM681" s="38"/>
      <c r="AN681" s="38"/>
      <c r="AO681" s="38"/>
      <c r="AP681" s="38"/>
    </row>
    <row r="682" spans="1:42" ht="12.75">
      <c r="A682" s="38"/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38"/>
      <c r="AJ682" s="38"/>
      <c r="AK682" s="38"/>
      <c r="AL682" s="38"/>
      <c r="AM682" s="38"/>
      <c r="AN682" s="38"/>
      <c r="AO682" s="38"/>
      <c r="AP682" s="38"/>
    </row>
    <row r="683" spans="1:42" ht="12.75">
      <c r="A683" s="38"/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38"/>
    </row>
    <row r="684" spans="1:42" ht="12.75">
      <c r="A684" s="38"/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38"/>
      <c r="AJ684" s="38"/>
      <c r="AK684" s="38"/>
      <c r="AL684" s="38"/>
      <c r="AM684" s="38"/>
      <c r="AN684" s="38"/>
      <c r="AO684" s="38"/>
      <c r="AP684" s="38"/>
    </row>
    <row r="685" spans="1:42" ht="12.75">
      <c r="A685" s="38"/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38"/>
      <c r="AI685" s="38"/>
      <c r="AJ685" s="38"/>
      <c r="AK685" s="38"/>
      <c r="AL685" s="38"/>
      <c r="AM685" s="38"/>
      <c r="AN685" s="38"/>
      <c r="AO685" s="38"/>
      <c r="AP685" s="38"/>
    </row>
    <row r="686" spans="1:42" ht="12.75">
      <c r="A686" s="38"/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38"/>
      <c r="AJ686" s="38"/>
      <c r="AK686" s="38"/>
      <c r="AL686" s="38"/>
      <c r="AM686" s="38"/>
      <c r="AN686" s="38"/>
      <c r="AO686" s="38"/>
      <c r="AP686" s="38"/>
    </row>
    <row r="687" spans="1:42" ht="12.75">
      <c r="A687" s="38"/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38"/>
      <c r="AI687" s="38"/>
      <c r="AJ687" s="38"/>
      <c r="AK687" s="38"/>
      <c r="AL687" s="38"/>
      <c r="AM687" s="38"/>
      <c r="AN687" s="38"/>
      <c r="AO687" s="38"/>
      <c r="AP687" s="38"/>
    </row>
    <row r="688" spans="1:42" ht="12.75">
      <c r="A688" s="38"/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F688" s="38"/>
      <c r="AG688" s="38"/>
      <c r="AH688" s="38"/>
      <c r="AI688" s="38"/>
      <c r="AJ688" s="38"/>
      <c r="AK688" s="38"/>
      <c r="AL688" s="38"/>
      <c r="AM688" s="38"/>
      <c r="AN688" s="38"/>
      <c r="AO688" s="38"/>
      <c r="AP688" s="38"/>
    </row>
    <row r="689" spans="1:42" ht="12.75">
      <c r="A689" s="38"/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F689" s="38"/>
      <c r="AG689" s="38"/>
      <c r="AH689" s="38"/>
      <c r="AI689" s="38"/>
      <c r="AJ689" s="38"/>
      <c r="AK689" s="38"/>
      <c r="AL689" s="38"/>
      <c r="AM689" s="38"/>
      <c r="AN689" s="38"/>
      <c r="AO689" s="38"/>
      <c r="AP689" s="38"/>
    </row>
    <row r="690" spans="1:42" ht="12.75">
      <c r="A690" s="38"/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F690" s="38"/>
      <c r="AG690" s="38"/>
      <c r="AH690" s="38"/>
      <c r="AI690" s="38"/>
      <c r="AJ690" s="38"/>
      <c r="AK690" s="38"/>
      <c r="AL690" s="38"/>
      <c r="AM690" s="38"/>
      <c r="AN690" s="38"/>
      <c r="AO690" s="38"/>
      <c r="AP690" s="38"/>
    </row>
    <row r="691" spans="1:42" ht="12.75">
      <c r="A691" s="38"/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F691" s="38"/>
      <c r="AG691" s="38"/>
      <c r="AH691" s="38"/>
      <c r="AI691" s="38"/>
      <c r="AJ691" s="38"/>
      <c r="AK691" s="38"/>
      <c r="AL691" s="38"/>
      <c r="AM691" s="38"/>
      <c r="AN691" s="38"/>
      <c r="AO691" s="38"/>
      <c r="AP691" s="38"/>
    </row>
    <row r="692" spans="1:42" ht="12.75">
      <c r="A692" s="38"/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F692" s="38"/>
      <c r="AG692" s="38"/>
      <c r="AH692" s="38"/>
      <c r="AI692" s="38"/>
      <c r="AJ692" s="38"/>
      <c r="AK692" s="38"/>
      <c r="AL692" s="38"/>
      <c r="AM692" s="38"/>
      <c r="AN692" s="38"/>
      <c r="AO692" s="38"/>
      <c r="AP692" s="38"/>
    </row>
    <row r="693" spans="1:42" ht="12.75">
      <c r="A693" s="38"/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F693" s="38"/>
      <c r="AG693" s="38"/>
      <c r="AH693" s="38"/>
      <c r="AI693" s="38"/>
      <c r="AJ693" s="38"/>
      <c r="AK693" s="38"/>
      <c r="AL693" s="38"/>
      <c r="AM693" s="38"/>
      <c r="AN693" s="38"/>
      <c r="AO693" s="38"/>
      <c r="AP693" s="38"/>
    </row>
    <row r="694" spans="1:42" ht="12.75">
      <c r="A694" s="38"/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F694" s="38"/>
      <c r="AG694" s="38"/>
      <c r="AH694" s="38"/>
      <c r="AI694" s="38"/>
      <c r="AJ694" s="38"/>
      <c r="AK694" s="38"/>
      <c r="AL694" s="38"/>
      <c r="AM694" s="38"/>
      <c r="AN694" s="38"/>
      <c r="AO694" s="38"/>
      <c r="AP694" s="38"/>
    </row>
    <row r="695" spans="1:42" ht="12.75">
      <c r="A695" s="38"/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F695" s="38"/>
      <c r="AG695" s="38"/>
      <c r="AH695" s="38"/>
      <c r="AI695" s="38"/>
      <c r="AJ695" s="38"/>
      <c r="AK695" s="38"/>
      <c r="AL695" s="38"/>
      <c r="AM695" s="38"/>
      <c r="AN695" s="38"/>
      <c r="AO695" s="38"/>
      <c r="AP695" s="38"/>
    </row>
    <row r="696" spans="1:42" ht="12.75">
      <c r="A696" s="38"/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F696" s="38"/>
      <c r="AG696" s="38"/>
      <c r="AH696" s="38"/>
      <c r="AI696" s="38"/>
      <c r="AJ696" s="38"/>
      <c r="AK696" s="38"/>
      <c r="AL696" s="38"/>
      <c r="AM696" s="38"/>
      <c r="AN696" s="38"/>
      <c r="AO696" s="38"/>
      <c r="AP696" s="38"/>
    </row>
    <row r="697" spans="1:42" ht="12.75">
      <c r="A697" s="38"/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F697" s="38"/>
      <c r="AG697" s="38"/>
      <c r="AH697" s="38"/>
      <c r="AI697" s="38"/>
      <c r="AJ697" s="38"/>
      <c r="AK697" s="38"/>
      <c r="AL697" s="38"/>
      <c r="AM697" s="38"/>
      <c r="AN697" s="38"/>
      <c r="AO697" s="38"/>
      <c r="AP697" s="38"/>
    </row>
    <row r="698" spans="1:42" ht="12.75">
      <c r="A698" s="38"/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F698" s="38"/>
      <c r="AG698" s="38"/>
      <c r="AH698" s="38"/>
      <c r="AI698" s="38"/>
      <c r="AJ698" s="38"/>
      <c r="AK698" s="38"/>
      <c r="AL698" s="38"/>
      <c r="AM698" s="38"/>
      <c r="AN698" s="38"/>
      <c r="AO698" s="38"/>
      <c r="AP698" s="38"/>
    </row>
    <row r="699" spans="1:42" ht="12.75">
      <c r="A699" s="38"/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F699" s="38"/>
      <c r="AG699" s="38"/>
      <c r="AH699" s="38"/>
      <c r="AI699" s="38"/>
      <c r="AJ699" s="38"/>
      <c r="AK699" s="38"/>
      <c r="AL699" s="38"/>
      <c r="AM699" s="38"/>
      <c r="AN699" s="38"/>
      <c r="AO699" s="38"/>
      <c r="AP699" s="38"/>
    </row>
    <row r="700" spans="1:42" ht="12.75">
      <c r="A700" s="38"/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F700" s="38"/>
      <c r="AG700" s="38"/>
      <c r="AH700" s="38"/>
      <c r="AI700" s="38"/>
      <c r="AJ700" s="38"/>
      <c r="AK700" s="38"/>
      <c r="AL700" s="38"/>
      <c r="AM700" s="38"/>
      <c r="AN700" s="38"/>
      <c r="AO700" s="38"/>
      <c r="AP700" s="38"/>
    </row>
    <row r="701" spans="1:42" ht="12.75">
      <c r="A701" s="38"/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38"/>
      <c r="AO701" s="38"/>
      <c r="AP701" s="38"/>
    </row>
    <row r="702" spans="1:42" ht="12.75">
      <c r="A702" s="38"/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F702" s="38"/>
      <c r="AG702" s="38"/>
      <c r="AH702" s="38"/>
      <c r="AI702" s="38"/>
      <c r="AJ702" s="38"/>
      <c r="AK702" s="38"/>
      <c r="AL702" s="38"/>
      <c r="AM702" s="38"/>
      <c r="AN702" s="38"/>
      <c r="AO702" s="38"/>
      <c r="AP702" s="38"/>
    </row>
    <row r="703" spans="1:42" ht="12.75">
      <c r="A703" s="38"/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F703" s="38"/>
      <c r="AG703" s="38"/>
      <c r="AH703" s="38"/>
      <c r="AI703" s="38"/>
      <c r="AJ703" s="38"/>
      <c r="AK703" s="38"/>
      <c r="AL703" s="38"/>
      <c r="AM703" s="38"/>
      <c r="AN703" s="38"/>
      <c r="AO703" s="38"/>
      <c r="AP703" s="38"/>
    </row>
    <row r="704" spans="1:42" ht="12.75">
      <c r="A704" s="38"/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F704" s="38"/>
      <c r="AG704" s="38"/>
      <c r="AH704" s="38"/>
      <c r="AI704" s="38"/>
      <c r="AJ704" s="38"/>
      <c r="AK704" s="38"/>
      <c r="AL704" s="38"/>
      <c r="AM704" s="38"/>
      <c r="AN704" s="38"/>
      <c r="AO704" s="38"/>
      <c r="AP704" s="38"/>
    </row>
    <row r="705" spans="1:42" ht="12.75">
      <c r="A705" s="38"/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F705" s="38"/>
      <c r="AG705" s="38"/>
      <c r="AH705" s="38"/>
      <c r="AI705" s="38"/>
      <c r="AJ705" s="38"/>
      <c r="AK705" s="38"/>
      <c r="AL705" s="38"/>
      <c r="AM705" s="38"/>
      <c r="AN705" s="38"/>
      <c r="AO705" s="38"/>
      <c r="AP705" s="38"/>
    </row>
    <row r="706" spans="1:42" ht="12.75">
      <c r="A706" s="38"/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F706" s="38"/>
      <c r="AG706" s="38"/>
      <c r="AH706" s="38"/>
      <c r="AI706" s="38"/>
      <c r="AJ706" s="38"/>
      <c r="AK706" s="38"/>
      <c r="AL706" s="38"/>
      <c r="AM706" s="38"/>
      <c r="AN706" s="38"/>
      <c r="AO706" s="38"/>
      <c r="AP706" s="38"/>
    </row>
    <row r="707" spans="1:42" ht="12.75">
      <c r="A707" s="38"/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F707" s="38"/>
      <c r="AG707" s="38"/>
      <c r="AH707" s="38"/>
      <c r="AI707" s="38"/>
      <c r="AJ707" s="38"/>
      <c r="AK707" s="38"/>
      <c r="AL707" s="38"/>
      <c r="AM707" s="38"/>
      <c r="AN707" s="38"/>
      <c r="AO707" s="38"/>
      <c r="AP707" s="38"/>
    </row>
    <row r="708" spans="1:42" ht="12.75">
      <c r="A708" s="38"/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F708" s="38"/>
      <c r="AG708" s="38"/>
      <c r="AH708" s="38"/>
      <c r="AI708" s="38"/>
      <c r="AJ708" s="38"/>
      <c r="AK708" s="38"/>
      <c r="AL708" s="38"/>
      <c r="AM708" s="38"/>
      <c r="AN708" s="38"/>
      <c r="AO708" s="38"/>
      <c r="AP708" s="38"/>
    </row>
    <row r="709" spans="1:42" ht="12.75">
      <c r="A709" s="38"/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F709" s="38"/>
      <c r="AG709" s="38"/>
      <c r="AH709" s="38"/>
      <c r="AI709" s="38"/>
      <c r="AJ709" s="38"/>
      <c r="AK709" s="38"/>
      <c r="AL709" s="38"/>
      <c r="AM709" s="38"/>
      <c r="AN709" s="38"/>
      <c r="AO709" s="38"/>
      <c r="AP709" s="38"/>
    </row>
    <row r="710" spans="1:42" ht="12.75">
      <c r="A710" s="38"/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F710" s="38"/>
      <c r="AG710" s="38"/>
      <c r="AH710" s="38"/>
      <c r="AI710" s="38"/>
      <c r="AJ710" s="38"/>
      <c r="AK710" s="38"/>
      <c r="AL710" s="38"/>
      <c r="AM710" s="38"/>
      <c r="AN710" s="38"/>
      <c r="AO710" s="38"/>
      <c r="AP710" s="38"/>
    </row>
    <row r="711" spans="1:42" ht="12.75">
      <c r="A711" s="38"/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F711" s="38"/>
      <c r="AG711" s="38"/>
      <c r="AH711" s="38"/>
      <c r="AI711" s="38"/>
      <c r="AJ711" s="38"/>
      <c r="AK711" s="38"/>
      <c r="AL711" s="38"/>
      <c r="AM711" s="38"/>
      <c r="AN711" s="38"/>
      <c r="AO711" s="38"/>
      <c r="AP711" s="38"/>
    </row>
    <row r="712" spans="1:42" ht="12.75">
      <c r="A712" s="38"/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F712" s="38"/>
      <c r="AG712" s="38"/>
      <c r="AH712" s="38"/>
      <c r="AI712" s="38"/>
      <c r="AJ712" s="38"/>
      <c r="AK712" s="38"/>
      <c r="AL712" s="38"/>
      <c r="AM712" s="38"/>
      <c r="AN712" s="38"/>
      <c r="AO712" s="38"/>
      <c r="AP712" s="38"/>
    </row>
    <row r="713" spans="1:42" ht="12.75">
      <c r="A713" s="38"/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F713" s="38"/>
      <c r="AG713" s="38"/>
      <c r="AH713" s="38"/>
      <c r="AI713" s="38"/>
      <c r="AJ713" s="38"/>
      <c r="AK713" s="38"/>
      <c r="AL713" s="38"/>
      <c r="AM713" s="38"/>
      <c r="AN713" s="38"/>
      <c r="AO713" s="38"/>
      <c r="AP713" s="38"/>
    </row>
    <row r="714" spans="1:42" ht="12.75">
      <c r="A714" s="38"/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F714" s="38"/>
      <c r="AG714" s="38"/>
      <c r="AH714" s="38"/>
      <c r="AI714" s="38"/>
      <c r="AJ714" s="38"/>
      <c r="AK714" s="38"/>
      <c r="AL714" s="38"/>
      <c r="AM714" s="38"/>
      <c r="AN714" s="38"/>
      <c r="AO714" s="38"/>
      <c r="AP714" s="38"/>
    </row>
    <row r="715" spans="1:42" ht="12.75">
      <c r="A715" s="38"/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F715" s="38"/>
      <c r="AG715" s="38"/>
      <c r="AH715" s="38"/>
      <c r="AI715" s="38"/>
      <c r="AJ715" s="38"/>
      <c r="AK715" s="38"/>
      <c r="AL715" s="38"/>
      <c r="AM715" s="38"/>
      <c r="AN715" s="38"/>
      <c r="AO715" s="38"/>
      <c r="AP715" s="38"/>
    </row>
    <row r="716" spans="1:42" ht="12.75">
      <c r="A716" s="38"/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F716" s="38"/>
      <c r="AG716" s="38"/>
      <c r="AH716" s="38"/>
      <c r="AI716" s="38"/>
      <c r="AJ716" s="38"/>
      <c r="AK716" s="38"/>
      <c r="AL716" s="38"/>
      <c r="AM716" s="38"/>
      <c r="AN716" s="38"/>
      <c r="AO716" s="38"/>
      <c r="AP716" s="38"/>
    </row>
    <row r="717" spans="1:42" ht="12.75">
      <c r="A717" s="38"/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F717" s="38"/>
      <c r="AG717" s="38"/>
      <c r="AH717" s="38"/>
      <c r="AI717" s="38"/>
      <c r="AJ717" s="38"/>
      <c r="AK717" s="38"/>
      <c r="AL717" s="38"/>
      <c r="AM717" s="38"/>
      <c r="AN717" s="38"/>
      <c r="AO717" s="38"/>
      <c r="AP717" s="38"/>
    </row>
    <row r="718" spans="1:42" ht="12.75">
      <c r="A718" s="38"/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F718" s="38"/>
      <c r="AG718" s="38"/>
      <c r="AH718" s="38"/>
      <c r="AI718" s="38"/>
      <c r="AJ718" s="38"/>
      <c r="AK718" s="38"/>
      <c r="AL718" s="38"/>
      <c r="AM718" s="38"/>
      <c r="AN718" s="38"/>
      <c r="AO718" s="38"/>
      <c r="AP718" s="38"/>
    </row>
    <row r="719" spans="1:42" ht="12.75">
      <c r="A719" s="38"/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F719" s="38"/>
      <c r="AG719" s="38"/>
      <c r="AH719" s="38"/>
      <c r="AI719" s="38"/>
      <c r="AJ719" s="38"/>
      <c r="AK719" s="38"/>
      <c r="AL719" s="38"/>
      <c r="AM719" s="38"/>
      <c r="AN719" s="38"/>
      <c r="AO719" s="38"/>
      <c r="AP719" s="38"/>
    </row>
    <row r="720" spans="1:42" ht="12.75">
      <c r="A720" s="38"/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F720" s="38"/>
      <c r="AG720" s="38"/>
      <c r="AH720" s="38"/>
      <c r="AI720" s="38"/>
      <c r="AJ720" s="38"/>
      <c r="AK720" s="38"/>
      <c r="AL720" s="38"/>
      <c r="AM720" s="38"/>
      <c r="AN720" s="38"/>
      <c r="AO720" s="38"/>
      <c r="AP720" s="38"/>
    </row>
    <row r="721" spans="1:42" ht="12.75">
      <c r="A721" s="38"/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F721" s="38"/>
      <c r="AG721" s="38"/>
      <c r="AH721" s="38"/>
      <c r="AI721" s="38"/>
      <c r="AJ721" s="38"/>
      <c r="AK721" s="38"/>
      <c r="AL721" s="38"/>
      <c r="AM721" s="38"/>
      <c r="AN721" s="38"/>
      <c r="AO721" s="38"/>
      <c r="AP721" s="38"/>
    </row>
    <row r="722" spans="1:42" ht="12.75">
      <c r="A722" s="38"/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F722" s="38"/>
      <c r="AG722" s="38"/>
      <c r="AH722" s="38"/>
      <c r="AI722" s="38"/>
      <c r="AJ722" s="38"/>
      <c r="AK722" s="38"/>
      <c r="AL722" s="38"/>
      <c r="AM722" s="38"/>
      <c r="AN722" s="38"/>
      <c r="AO722" s="38"/>
      <c r="AP722" s="38"/>
    </row>
    <row r="723" spans="1:42" ht="12.75">
      <c r="A723" s="38"/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F723" s="38"/>
      <c r="AG723" s="38"/>
      <c r="AH723" s="38"/>
      <c r="AI723" s="38"/>
      <c r="AJ723" s="38"/>
      <c r="AK723" s="38"/>
      <c r="AL723" s="38"/>
      <c r="AM723" s="38"/>
      <c r="AN723" s="38"/>
      <c r="AO723" s="38"/>
      <c r="AP723" s="38"/>
    </row>
    <row r="724" spans="1:42" ht="12.75">
      <c r="A724" s="38"/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F724" s="38"/>
      <c r="AG724" s="38"/>
      <c r="AH724" s="38"/>
      <c r="AI724" s="38"/>
      <c r="AJ724" s="38"/>
      <c r="AK724" s="38"/>
      <c r="AL724" s="38"/>
      <c r="AM724" s="38"/>
      <c r="AN724" s="38"/>
      <c r="AO724" s="38"/>
      <c r="AP724" s="38"/>
    </row>
    <row r="725" spans="1:42" ht="12.75">
      <c r="A725" s="38"/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F725" s="38"/>
      <c r="AG725" s="38"/>
      <c r="AH725" s="38"/>
      <c r="AI725" s="38"/>
      <c r="AJ725" s="38"/>
      <c r="AK725" s="38"/>
      <c r="AL725" s="38"/>
      <c r="AM725" s="38"/>
      <c r="AN725" s="38"/>
      <c r="AO725" s="38"/>
      <c r="AP725" s="38"/>
    </row>
    <row r="726" spans="1:42" ht="12.75">
      <c r="A726" s="38"/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F726" s="38"/>
      <c r="AG726" s="38"/>
      <c r="AH726" s="38"/>
      <c r="AI726" s="38"/>
      <c r="AJ726" s="38"/>
      <c r="AK726" s="38"/>
      <c r="AL726" s="38"/>
      <c r="AM726" s="38"/>
      <c r="AN726" s="38"/>
      <c r="AO726" s="38"/>
      <c r="AP726" s="38"/>
    </row>
    <row r="727" spans="1:42" ht="12.75">
      <c r="A727" s="38"/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F727" s="38"/>
      <c r="AG727" s="38"/>
      <c r="AH727" s="38"/>
      <c r="AI727" s="38"/>
      <c r="AJ727" s="38"/>
      <c r="AK727" s="38"/>
      <c r="AL727" s="38"/>
      <c r="AM727" s="38"/>
      <c r="AN727" s="38"/>
      <c r="AO727" s="38"/>
      <c r="AP727" s="38"/>
    </row>
    <row r="728" spans="1:42" ht="12.75">
      <c r="A728" s="38"/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F728" s="38"/>
      <c r="AG728" s="38"/>
      <c r="AH728" s="38"/>
      <c r="AI728" s="38"/>
      <c r="AJ728" s="38"/>
      <c r="AK728" s="38"/>
      <c r="AL728" s="38"/>
      <c r="AM728" s="38"/>
      <c r="AN728" s="38"/>
      <c r="AO728" s="38"/>
      <c r="AP728" s="38"/>
    </row>
    <row r="729" spans="1:42" ht="12.75">
      <c r="A729" s="38"/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F729" s="38"/>
      <c r="AG729" s="38"/>
      <c r="AH729" s="38"/>
      <c r="AI729" s="38"/>
      <c r="AJ729" s="38"/>
      <c r="AK729" s="38"/>
      <c r="AL729" s="38"/>
      <c r="AM729" s="38"/>
      <c r="AN729" s="38"/>
      <c r="AO729" s="38"/>
      <c r="AP729" s="38"/>
    </row>
    <row r="730" spans="1:42" ht="12.75">
      <c r="A730" s="38"/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F730" s="38"/>
      <c r="AG730" s="38"/>
      <c r="AH730" s="38"/>
      <c r="AI730" s="38"/>
      <c r="AJ730" s="38"/>
      <c r="AK730" s="38"/>
      <c r="AL730" s="38"/>
      <c r="AM730" s="38"/>
      <c r="AN730" s="38"/>
      <c r="AO730" s="38"/>
      <c r="AP730" s="38"/>
    </row>
    <row r="731" spans="1:42" ht="12.75">
      <c r="A731" s="38"/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F731" s="38"/>
      <c r="AG731" s="38"/>
      <c r="AH731" s="38"/>
      <c r="AI731" s="38"/>
      <c r="AJ731" s="38"/>
      <c r="AK731" s="38"/>
      <c r="AL731" s="38"/>
      <c r="AM731" s="38"/>
      <c r="AN731" s="38"/>
      <c r="AO731" s="38"/>
      <c r="AP731" s="38"/>
    </row>
    <row r="732" spans="1:42" ht="12.75">
      <c r="A732" s="38"/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F732" s="38"/>
      <c r="AG732" s="38"/>
      <c r="AH732" s="38"/>
      <c r="AI732" s="38"/>
      <c r="AJ732" s="38"/>
      <c r="AK732" s="38"/>
      <c r="AL732" s="38"/>
      <c r="AM732" s="38"/>
      <c r="AN732" s="38"/>
      <c r="AO732" s="38"/>
      <c r="AP732" s="38"/>
    </row>
    <row r="733" spans="1:42" ht="12.75">
      <c r="A733" s="38"/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F733" s="38"/>
      <c r="AG733" s="38"/>
      <c r="AH733" s="38"/>
      <c r="AI733" s="38"/>
      <c r="AJ733" s="38"/>
      <c r="AK733" s="38"/>
      <c r="AL733" s="38"/>
      <c r="AM733" s="38"/>
      <c r="AN733" s="38"/>
      <c r="AO733" s="38"/>
      <c r="AP733" s="38"/>
    </row>
    <row r="734" spans="1:42" ht="12.75">
      <c r="A734" s="38"/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F734" s="38"/>
      <c r="AG734" s="38"/>
      <c r="AH734" s="38"/>
      <c r="AI734" s="38"/>
      <c r="AJ734" s="38"/>
      <c r="AK734" s="38"/>
      <c r="AL734" s="38"/>
      <c r="AM734" s="38"/>
      <c r="AN734" s="38"/>
      <c r="AO734" s="38"/>
      <c r="AP734" s="38"/>
    </row>
    <row r="735" spans="1:42" ht="12.75">
      <c r="A735" s="38"/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F735" s="38"/>
      <c r="AG735" s="38"/>
      <c r="AH735" s="38"/>
      <c r="AI735" s="38"/>
      <c r="AJ735" s="38"/>
      <c r="AK735" s="38"/>
      <c r="AL735" s="38"/>
      <c r="AM735" s="38"/>
      <c r="AN735" s="38"/>
      <c r="AO735" s="38"/>
      <c r="AP735" s="38"/>
    </row>
    <row r="736" spans="1:42" ht="12.75">
      <c r="A736" s="38"/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F736" s="38"/>
      <c r="AG736" s="38"/>
      <c r="AH736" s="38"/>
      <c r="AI736" s="38"/>
      <c r="AJ736" s="38"/>
      <c r="AK736" s="38"/>
      <c r="AL736" s="38"/>
      <c r="AM736" s="38"/>
      <c r="AN736" s="38"/>
      <c r="AO736" s="38"/>
      <c r="AP736" s="38"/>
    </row>
    <row r="737" spans="1:42" ht="12.75">
      <c r="A737" s="38"/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F737" s="38"/>
      <c r="AG737" s="38"/>
      <c r="AH737" s="38"/>
      <c r="AI737" s="38"/>
      <c r="AJ737" s="38"/>
      <c r="AK737" s="38"/>
      <c r="AL737" s="38"/>
      <c r="AM737" s="38"/>
      <c r="AN737" s="38"/>
      <c r="AO737" s="38"/>
      <c r="AP737" s="38"/>
    </row>
    <row r="738" spans="1:42" ht="12.75">
      <c r="A738" s="38"/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F738" s="38"/>
      <c r="AG738" s="38"/>
      <c r="AH738" s="38"/>
      <c r="AI738" s="38"/>
      <c r="AJ738" s="38"/>
      <c r="AK738" s="38"/>
      <c r="AL738" s="38"/>
      <c r="AM738" s="38"/>
      <c r="AN738" s="38"/>
      <c r="AO738" s="38"/>
      <c r="AP738" s="38"/>
    </row>
    <row r="739" spans="1:42" ht="12.75">
      <c r="A739" s="38"/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F739" s="38"/>
      <c r="AG739" s="38"/>
      <c r="AH739" s="38"/>
      <c r="AI739" s="38"/>
      <c r="AJ739" s="38"/>
      <c r="AK739" s="38"/>
      <c r="AL739" s="38"/>
      <c r="AM739" s="38"/>
      <c r="AN739" s="38"/>
      <c r="AO739" s="38"/>
      <c r="AP739" s="38"/>
    </row>
    <row r="740" spans="1:42" ht="12.75">
      <c r="A740" s="38"/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F740" s="38"/>
      <c r="AG740" s="38"/>
      <c r="AH740" s="38"/>
      <c r="AI740" s="38"/>
      <c r="AJ740" s="38"/>
      <c r="AK740" s="38"/>
      <c r="AL740" s="38"/>
      <c r="AM740" s="38"/>
      <c r="AN740" s="38"/>
      <c r="AO740" s="38"/>
      <c r="AP740" s="38"/>
    </row>
    <row r="741" spans="1:42" ht="12.75">
      <c r="A741" s="38"/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38"/>
      <c r="AO741" s="38"/>
      <c r="AP741" s="38"/>
    </row>
    <row r="742" spans="1:42" ht="12.75">
      <c r="A742" s="38"/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F742" s="38"/>
      <c r="AG742" s="38"/>
      <c r="AH742" s="38"/>
      <c r="AI742" s="38"/>
      <c r="AJ742" s="38"/>
      <c r="AK742" s="38"/>
      <c r="AL742" s="38"/>
      <c r="AM742" s="38"/>
      <c r="AN742" s="38"/>
      <c r="AO742" s="38"/>
      <c r="AP742" s="38"/>
    </row>
    <row r="743" spans="1:42" ht="12.75">
      <c r="A743" s="38"/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F743" s="38"/>
      <c r="AG743" s="38"/>
      <c r="AH743" s="38"/>
      <c r="AI743" s="38"/>
      <c r="AJ743" s="38"/>
      <c r="AK743" s="38"/>
      <c r="AL743" s="38"/>
      <c r="AM743" s="38"/>
      <c r="AN743" s="38"/>
      <c r="AO743" s="38"/>
      <c r="AP743" s="38"/>
    </row>
    <row r="744" spans="1:42" ht="12.75">
      <c r="A744" s="38"/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F744" s="38"/>
      <c r="AG744" s="38"/>
      <c r="AH744" s="38"/>
      <c r="AI744" s="38"/>
      <c r="AJ744" s="38"/>
      <c r="AK744" s="38"/>
      <c r="AL744" s="38"/>
      <c r="AM744" s="38"/>
      <c r="AN744" s="38"/>
      <c r="AO744" s="38"/>
      <c r="AP744" s="38"/>
    </row>
    <row r="745" spans="1:42" ht="12.75">
      <c r="A745" s="38"/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F745" s="38"/>
      <c r="AG745" s="38"/>
      <c r="AH745" s="38"/>
      <c r="AI745" s="38"/>
      <c r="AJ745" s="38"/>
      <c r="AK745" s="38"/>
      <c r="AL745" s="38"/>
      <c r="AM745" s="38"/>
      <c r="AN745" s="38"/>
      <c r="AO745" s="38"/>
      <c r="AP745" s="38"/>
    </row>
    <row r="746" spans="1:42" ht="12.75">
      <c r="A746" s="38"/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F746" s="38"/>
      <c r="AG746" s="38"/>
      <c r="AH746" s="38"/>
      <c r="AI746" s="38"/>
      <c r="AJ746" s="38"/>
      <c r="AK746" s="38"/>
      <c r="AL746" s="38"/>
      <c r="AM746" s="38"/>
      <c r="AN746" s="38"/>
      <c r="AO746" s="38"/>
      <c r="AP746" s="38"/>
    </row>
    <row r="747" spans="1:42" ht="12.75">
      <c r="A747" s="38"/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F747" s="38"/>
      <c r="AG747" s="38"/>
      <c r="AH747" s="38"/>
      <c r="AI747" s="38"/>
      <c r="AJ747" s="38"/>
      <c r="AK747" s="38"/>
      <c r="AL747" s="38"/>
      <c r="AM747" s="38"/>
      <c r="AN747" s="38"/>
      <c r="AO747" s="38"/>
      <c r="AP747" s="38"/>
    </row>
    <row r="748" spans="1:42" ht="12.75">
      <c r="A748" s="38"/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F748" s="38"/>
      <c r="AG748" s="38"/>
      <c r="AH748" s="38"/>
      <c r="AI748" s="38"/>
      <c r="AJ748" s="38"/>
      <c r="AK748" s="38"/>
      <c r="AL748" s="38"/>
      <c r="AM748" s="38"/>
      <c r="AN748" s="38"/>
      <c r="AO748" s="38"/>
      <c r="AP748" s="38"/>
    </row>
    <row r="749" spans="1:42" ht="12.75">
      <c r="A749" s="38"/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F749" s="38"/>
      <c r="AG749" s="38"/>
      <c r="AH749" s="38"/>
      <c r="AI749" s="38"/>
      <c r="AJ749" s="38"/>
      <c r="AK749" s="38"/>
      <c r="AL749" s="38"/>
      <c r="AM749" s="38"/>
      <c r="AN749" s="38"/>
      <c r="AO749" s="38"/>
      <c r="AP749" s="38"/>
    </row>
    <row r="750" spans="1:42" ht="12.75">
      <c r="A750" s="38"/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F750" s="38"/>
      <c r="AG750" s="38"/>
      <c r="AH750" s="38"/>
      <c r="AI750" s="38"/>
      <c r="AJ750" s="38"/>
      <c r="AK750" s="38"/>
      <c r="AL750" s="38"/>
      <c r="AM750" s="38"/>
      <c r="AN750" s="38"/>
      <c r="AO750" s="38"/>
      <c r="AP750" s="38"/>
    </row>
    <row r="751" spans="1:42" ht="12.75">
      <c r="A751" s="38"/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F751" s="38"/>
      <c r="AG751" s="38"/>
      <c r="AH751" s="38"/>
      <c r="AI751" s="38"/>
      <c r="AJ751" s="38"/>
      <c r="AK751" s="38"/>
      <c r="AL751" s="38"/>
      <c r="AM751" s="38"/>
      <c r="AN751" s="38"/>
      <c r="AO751" s="38"/>
      <c r="AP751" s="38"/>
    </row>
    <row r="752" spans="1:42" ht="12.75">
      <c r="A752" s="38"/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F752" s="38"/>
      <c r="AG752" s="38"/>
      <c r="AH752" s="38"/>
      <c r="AI752" s="38"/>
      <c r="AJ752" s="38"/>
      <c r="AK752" s="38"/>
      <c r="AL752" s="38"/>
      <c r="AM752" s="38"/>
      <c r="AN752" s="38"/>
      <c r="AO752" s="38"/>
      <c r="AP752" s="38"/>
    </row>
    <row r="753" spans="1:42" ht="12.75">
      <c r="A753" s="38"/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F753" s="38"/>
      <c r="AG753" s="38"/>
      <c r="AH753" s="38"/>
      <c r="AI753" s="38"/>
      <c r="AJ753" s="38"/>
      <c r="AK753" s="38"/>
      <c r="AL753" s="38"/>
      <c r="AM753" s="38"/>
      <c r="AN753" s="38"/>
      <c r="AO753" s="38"/>
      <c r="AP753" s="38"/>
    </row>
    <row r="754" spans="1:42" ht="12.75">
      <c r="A754" s="38"/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F754" s="38"/>
      <c r="AG754" s="38"/>
      <c r="AH754" s="38"/>
      <c r="AI754" s="38"/>
      <c r="AJ754" s="38"/>
      <c r="AK754" s="38"/>
      <c r="AL754" s="38"/>
      <c r="AM754" s="38"/>
      <c r="AN754" s="38"/>
      <c r="AO754" s="38"/>
      <c r="AP754" s="38"/>
    </row>
    <row r="755" spans="1:42" ht="12.75">
      <c r="A755" s="38"/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F755" s="38"/>
      <c r="AG755" s="38"/>
      <c r="AH755" s="38"/>
      <c r="AI755" s="38"/>
      <c r="AJ755" s="38"/>
      <c r="AK755" s="38"/>
      <c r="AL755" s="38"/>
      <c r="AM755" s="38"/>
      <c r="AN755" s="38"/>
      <c r="AO755" s="38"/>
      <c r="AP755" s="38"/>
    </row>
    <row r="756" spans="1:42" ht="12.75">
      <c r="A756" s="38"/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F756" s="38"/>
      <c r="AG756" s="38"/>
      <c r="AH756" s="38"/>
      <c r="AI756" s="38"/>
      <c r="AJ756" s="38"/>
      <c r="AK756" s="38"/>
      <c r="AL756" s="38"/>
      <c r="AM756" s="38"/>
      <c r="AN756" s="38"/>
      <c r="AO756" s="38"/>
      <c r="AP756" s="38"/>
    </row>
    <row r="757" spans="1:42" ht="12.75">
      <c r="A757" s="38"/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F757" s="38"/>
      <c r="AG757" s="38"/>
      <c r="AH757" s="38"/>
      <c r="AI757" s="38"/>
      <c r="AJ757" s="38"/>
      <c r="AK757" s="38"/>
      <c r="AL757" s="38"/>
      <c r="AM757" s="38"/>
      <c r="AN757" s="38"/>
      <c r="AO757" s="38"/>
      <c r="AP757" s="38"/>
    </row>
    <row r="758" spans="1:42" ht="12.75">
      <c r="A758" s="38"/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F758" s="38"/>
      <c r="AG758" s="38"/>
      <c r="AH758" s="38"/>
      <c r="AI758" s="38"/>
      <c r="AJ758" s="38"/>
      <c r="AK758" s="38"/>
      <c r="AL758" s="38"/>
      <c r="AM758" s="38"/>
      <c r="AN758" s="38"/>
      <c r="AO758" s="38"/>
      <c r="AP758" s="38"/>
    </row>
    <row r="759" spans="1:42" ht="12.75">
      <c r="A759" s="38"/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F759" s="38"/>
      <c r="AG759" s="38"/>
      <c r="AH759" s="38"/>
      <c r="AI759" s="38"/>
      <c r="AJ759" s="38"/>
      <c r="AK759" s="38"/>
      <c r="AL759" s="38"/>
      <c r="AM759" s="38"/>
      <c r="AN759" s="38"/>
      <c r="AO759" s="38"/>
      <c r="AP759" s="38"/>
    </row>
    <row r="760" spans="1:42" ht="12.75">
      <c r="A760" s="38"/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F760" s="38"/>
      <c r="AG760" s="38"/>
      <c r="AH760" s="38"/>
      <c r="AI760" s="38"/>
      <c r="AJ760" s="38"/>
      <c r="AK760" s="38"/>
      <c r="AL760" s="38"/>
      <c r="AM760" s="38"/>
      <c r="AN760" s="38"/>
      <c r="AO760" s="38"/>
      <c r="AP760" s="38"/>
    </row>
    <row r="761" spans="1:42" ht="12.75">
      <c r="A761" s="38"/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F761" s="38"/>
      <c r="AG761" s="38"/>
      <c r="AH761" s="38"/>
      <c r="AI761" s="38"/>
      <c r="AJ761" s="38"/>
      <c r="AK761" s="38"/>
      <c r="AL761" s="38"/>
      <c r="AM761" s="38"/>
      <c r="AN761" s="38"/>
      <c r="AO761" s="38"/>
      <c r="AP761" s="38"/>
    </row>
    <row r="762" spans="1:42" ht="12.75">
      <c r="A762" s="38"/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F762" s="38"/>
      <c r="AG762" s="38"/>
      <c r="AH762" s="38"/>
      <c r="AI762" s="38"/>
      <c r="AJ762" s="38"/>
      <c r="AK762" s="38"/>
      <c r="AL762" s="38"/>
      <c r="AM762" s="38"/>
      <c r="AN762" s="38"/>
      <c r="AO762" s="38"/>
      <c r="AP762" s="38"/>
    </row>
    <row r="763" spans="1:42" ht="12.75">
      <c r="A763" s="38"/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F763" s="38"/>
      <c r="AG763" s="38"/>
      <c r="AH763" s="38"/>
      <c r="AI763" s="38"/>
      <c r="AJ763" s="38"/>
      <c r="AK763" s="38"/>
      <c r="AL763" s="38"/>
      <c r="AM763" s="38"/>
      <c r="AN763" s="38"/>
      <c r="AO763" s="38"/>
      <c r="AP763" s="38"/>
    </row>
    <row r="764" spans="1:42" ht="12.75">
      <c r="A764" s="38"/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F764" s="38"/>
      <c r="AG764" s="38"/>
      <c r="AH764" s="38"/>
      <c r="AI764" s="38"/>
      <c r="AJ764" s="38"/>
      <c r="AK764" s="38"/>
      <c r="AL764" s="38"/>
      <c r="AM764" s="38"/>
      <c r="AN764" s="38"/>
      <c r="AO764" s="38"/>
      <c r="AP764" s="38"/>
    </row>
    <row r="765" spans="1:42" ht="12.75">
      <c r="A765" s="38"/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F765" s="38"/>
      <c r="AG765" s="38"/>
      <c r="AH765" s="38"/>
      <c r="AI765" s="38"/>
      <c r="AJ765" s="38"/>
      <c r="AK765" s="38"/>
      <c r="AL765" s="38"/>
      <c r="AM765" s="38"/>
      <c r="AN765" s="38"/>
      <c r="AO765" s="38"/>
      <c r="AP765" s="38"/>
    </row>
    <row r="766" spans="1:42" ht="12.75">
      <c r="A766" s="38"/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F766" s="38"/>
      <c r="AG766" s="38"/>
      <c r="AH766" s="38"/>
      <c r="AI766" s="38"/>
      <c r="AJ766" s="38"/>
      <c r="AK766" s="38"/>
      <c r="AL766" s="38"/>
      <c r="AM766" s="38"/>
      <c r="AN766" s="38"/>
      <c r="AO766" s="38"/>
      <c r="AP766" s="38"/>
    </row>
    <row r="767" spans="1:42" ht="12.75">
      <c r="A767" s="38"/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F767" s="38"/>
      <c r="AG767" s="38"/>
      <c r="AH767" s="38"/>
      <c r="AI767" s="38"/>
      <c r="AJ767" s="38"/>
      <c r="AK767" s="38"/>
      <c r="AL767" s="38"/>
      <c r="AM767" s="38"/>
      <c r="AN767" s="38"/>
      <c r="AO767" s="38"/>
      <c r="AP767" s="38"/>
    </row>
    <row r="768" spans="1:42" ht="12.75">
      <c r="A768" s="38"/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F768" s="38"/>
      <c r="AG768" s="38"/>
      <c r="AH768" s="38"/>
      <c r="AI768" s="38"/>
      <c r="AJ768" s="38"/>
      <c r="AK768" s="38"/>
      <c r="AL768" s="38"/>
      <c r="AM768" s="38"/>
      <c r="AN768" s="38"/>
      <c r="AO768" s="38"/>
      <c r="AP768" s="38"/>
    </row>
    <row r="769" spans="1:42" ht="12.75">
      <c r="A769" s="38"/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F769" s="38"/>
      <c r="AG769" s="38"/>
      <c r="AH769" s="38"/>
      <c r="AI769" s="38"/>
      <c r="AJ769" s="38"/>
      <c r="AK769" s="38"/>
      <c r="AL769" s="38"/>
      <c r="AM769" s="38"/>
      <c r="AN769" s="38"/>
      <c r="AO769" s="38"/>
      <c r="AP769" s="38"/>
    </row>
    <row r="770" spans="1:42" ht="12.75">
      <c r="A770" s="38"/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F770" s="38"/>
      <c r="AG770" s="38"/>
      <c r="AH770" s="38"/>
      <c r="AI770" s="38"/>
      <c r="AJ770" s="38"/>
      <c r="AK770" s="38"/>
      <c r="AL770" s="38"/>
      <c r="AM770" s="38"/>
      <c r="AN770" s="38"/>
      <c r="AO770" s="38"/>
      <c r="AP770" s="38"/>
    </row>
    <row r="771" spans="1:42" ht="12.75">
      <c r="A771" s="38"/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F771" s="38"/>
      <c r="AG771" s="38"/>
      <c r="AH771" s="38"/>
      <c r="AI771" s="38"/>
      <c r="AJ771" s="38"/>
      <c r="AK771" s="38"/>
      <c r="AL771" s="38"/>
      <c r="AM771" s="38"/>
      <c r="AN771" s="38"/>
      <c r="AO771" s="38"/>
      <c r="AP771" s="38"/>
    </row>
    <row r="772" spans="1:42" ht="12.75">
      <c r="A772" s="38"/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F772" s="38"/>
      <c r="AG772" s="38"/>
      <c r="AH772" s="38"/>
      <c r="AI772" s="38"/>
      <c r="AJ772" s="38"/>
      <c r="AK772" s="38"/>
      <c r="AL772" s="38"/>
      <c r="AM772" s="38"/>
      <c r="AN772" s="38"/>
      <c r="AO772" s="38"/>
      <c r="AP772" s="38"/>
    </row>
    <row r="773" spans="1:42" ht="12.75">
      <c r="A773" s="38"/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F773" s="38"/>
      <c r="AG773" s="38"/>
      <c r="AH773" s="38"/>
      <c r="AI773" s="38"/>
      <c r="AJ773" s="38"/>
      <c r="AK773" s="38"/>
      <c r="AL773" s="38"/>
      <c r="AM773" s="38"/>
      <c r="AN773" s="38"/>
      <c r="AO773" s="38"/>
      <c r="AP773" s="38"/>
    </row>
    <row r="774" spans="1:42" ht="12.75">
      <c r="A774" s="38"/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F774" s="38"/>
      <c r="AG774" s="38"/>
      <c r="AH774" s="38"/>
      <c r="AI774" s="38"/>
      <c r="AJ774" s="38"/>
      <c r="AK774" s="38"/>
      <c r="AL774" s="38"/>
      <c r="AM774" s="38"/>
      <c r="AN774" s="38"/>
      <c r="AO774" s="38"/>
      <c r="AP774" s="38"/>
    </row>
    <row r="775" spans="1:42" ht="12.75">
      <c r="A775" s="38"/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F775" s="38"/>
      <c r="AG775" s="38"/>
      <c r="AH775" s="38"/>
      <c r="AI775" s="38"/>
      <c r="AJ775" s="38"/>
      <c r="AK775" s="38"/>
      <c r="AL775" s="38"/>
      <c r="AM775" s="38"/>
      <c r="AN775" s="38"/>
      <c r="AO775" s="38"/>
      <c r="AP775" s="38"/>
    </row>
    <row r="776" spans="1:42" ht="12.75">
      <c r="A776" s="38"/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F776" s="38"/>
      <c r="AG776" s="38"/>
      <c r="AH776" s="38"/>
      <c r="AI776" s="38"/>
      <c r="AJ776" s="38"/>
      <c r="AK776" s="38"/>
      <c r="AL776" s="38"/>
      <c r="AM776" s="38"/>
      <c r="AN776" s="38"/>
      <c r="AO776" s="38"/>
      <c r="AP776" s="38"/>
    </row>
    <row r="777" spans="1:42" ht="12.75">
      <c r="A777" s="38"/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F777" s="38"/>
      <c r="AG777" s="38"/>
      <c r="AH777" s="38"/>
      <c r="AI777" s="38"/>
      <c r="AJ777" s="38"/>
      <c r="AK777" s="38"/>
      <c r="AL777" s="38"/>
      <c r="AM777" s="38"/>
      <c r="AN777" s="38"/>
      <c r="AO777" s="38"/>
      <c r="AP777" s="38"/>
    </row>
    <row r="778" spans="1:42" ht="12.75">
      <c r="A778" s="38"/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F778" s="38"/>
      <c r="AG778" s="38"/>
      <c r="AH778" s="38"/>
      <c r="AI778" s="38"/>
      <c r="AJ778" s="38"/>
      <c r="AK778" s="38"/>
      <c r="AL778" s="38"/>
      <c r="AM778" s="38"/>
      <c r="AN778" s="38"/>
      <c r="AO778" s="38"/>
      <c r="AP778" s="38"/>
    </row>
    <row r="779" spans="1:42" ht="12.75">
      <c r="A779" s="38"/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F779" s="38"/>
      <c r="AG779" s="38"/>
      <c r="AH779" s="38"/>
      <c r="AI779" s="38"/>
      <c r="AJ779" s="38"/>
      <c r="AK779" s="38"/>
      <c r="AL779" s="38"/>
      <c r="AM779" s="38"/>
      <c r="AN779" s="38"/>
      <c r="AO779" s="38"/>
      <c r="AP779" s="38"/>
    </row>
    <row r="780" spans="1:42" ht="12.75">
      <c r="A780" s="38"/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F780" s="38"/>
      <c r="AG780" s="38"/>
      <c r="AH780" s="38"/>
      <c r="AI780" s="38"/>
      <c r="AJ780" s="38"/>
      <c r="AK780" s="38"/>
      <c r="AL780" s="38"/>
      <c r="AM780" s="38"/>
      <c r="AN780" s="38"/>
      <c r="AO780" s="38"/>
      <c r="AP780" s="38"/>
    </row>
    <row r="781" spans="1:42" ht="12.75">
      <c r="A781" s="38"/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F781" s="38"/>
      <c r="AG781" s="38"/>
      <c r="AH781" s="38"/>
      <c r="AI781" s="38"/>
      <c r="AJ781" s="38"/>
      <c r="AK781" s="38"/>
      <c r="AL781" s="38"/>
      <c r="AM781" s="38"/>
      <c r="AN781" s="38"/>
      <c r="AO781" s="38"/>
      <c r="AP781" s="38"/>
    </row>
    <row r="782" spans="1:42" ht="12.75">
      <c r="A782" s="38"/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F782" s="38"/>
      <c r="AG782" s="38"/>
      <c r="AH782" s="38"/>
      <c r="AI782" s="38"/>
      <c r="AJ782" s="38"/>
      <c r="AK782" s="38"/>
      <c r="AL782" s="38"/>
      <c r="AM782" s="38"/>
      <c r="AN782" s="38"/>
      <c r="AO782" s="38"/>
      <c r="AP782" s="38"/>
    </row>
    <row r="783" spans="1:42" ht="12.75">
      <c r="A783" s="38"/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F783" s="38"/>
      <c r="AG783" s="38"/>
      <c r="AH783" s="38"/>
      <c r="AI783" s="38"/>
      <c r="AJ783" s="38"/>
      <c r="AK783" s="38"/>
      <c r="AL783" s="38"/>
      <c r="AM783" s="38"/>
      <c r="AN783" s="38"/>
      <c r="AO783" s="38"/>
      <c r="AP783" s="38"/>
    </row>
    <row r="784" spans="1:42" ht="12.75">
      <c r="A784" s="38"/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F784" s="38"/>
      <c r="AG784" s="38"/>
      <c r="AH784" s="38"/>
      <c r="AI784" s="38"/>
      <c r="AJ784" s="38"/>
      <c r="AK784" s="38"/>
      <c r="AL784" s="38"/>
      <c r="AM784" s="38"/>
      <c r="AN784" s="38"/>
      <c r="AO784" s="38"/>
      <c r="AP784" s="38"/>
    </row>
    <row r="785" spans="1:42" ht="12.75">
      <c r="A785" s="38"/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F785" s="38"/>
      <c r="AG785" s="38"/>
      <c r="AH785" s="38"/>
      <c r="AI785" s="38"/>
      <c r="AJ785" s="38"/>
      <c r="AK785" s="38"/>
      <c r="AL785" s="38"/>
      <c r="AM785" s="38"/>
      <c r="AN785" s="38"/>
      <c r="AO785" s="38"/>
      <c r="AP785" s="38"/>
    </row>
    <row r="786" spans="1:42" ht="12.75">
      <c r="A786" s="38"/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F786" s="38"/>
      <c r="AG786" s="38"/>
      <c r="AH786" s="38"/>
      <c r="AI786" s="38"/>
      <c r="AJ786" s="38"/>
      <c r="AK786" s="38"/>
      <c r="AL786" s="38"/>
      <c r="AM786" s="38"/>
      <c r="AN786" s="38"/>
      <c r="AO786" s="38"/>
      <c r="AP786" s="38"/>
    </row>
    <row r="787" spans="1:42" ht="12.75">
      <c r="A787" s="38"/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F787" s="38"/>
      <c r="AG787" s="38"/>
      <c r="AH787" s="38"/>
      <c r="AI787" s="38"/>
      <c r="AJ787" s="38"/>
      <c r="AK787" s="38"/>
      <c r="AL787" s="38"/>
      <c r="AM787" s="38"/>
      <c r="AN787" s="38"/>
      <c r="AO787" s="38"/>
      <c r="AP787" s="38"/>
    </row>
    <row r="788" spans="1:42" ht="12.75">
      <c r="A788" s="38"/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F788" s="38"/>
      <c r="AG788" s="38"/>
      <c r="AH788" s="38"/>
      <c r="AI788" s="38"/>
      <c r="AJ788" s="38"/>
      <c r="AK788" s="38"/>
      <c r="AL788" s="38"/>
      <c r="AM788" s="38"/>
      <c r="AN788" s="38"/>
      <c r="AO788" s="38"/>
      <c r="AP788" s="38"/>
    </row>
    <row r="789" spans="1:42" ht="12.75">
      <c r="A789" s="38"/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F789" s="38"/>
      <c r="AG789" s="38"/>
      <c r="AH789" s="38"/>
      <c r="AI789" s="38"/>
      <c r="AJ789" s="38"/>
      <c r="AK789" s="38"/>
      <c r="AL789" s="38"/>
      <c r="AM789" s="38"/>
      <c r="AN789" s="38"/>
      <c r="AO789" s="38"/>
      <c r="AP789" s="38"/>
    </row>
    <row r="790" spans="1:42" ht="12.75">
      <c r="A790" s="38"/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F790" s="38"/>
      <c r="AG790" s="38"/>
      <c r="AH790" s="38"/>
      <c r="AI790" s="38"/>
      <c r="AJ790" s="38"/>
      <c r="AK790" s="38"/>
      <c r="AL790" s="38"/>
      <c r="AM790" s="38"/>
      <c r="AN790" s="38"/>
      <c r="AO790" s="38"/>
      <c r="AP790" s="38"/>
    </row>
    <row r="791" spans="1:42" ht="12.75">
      <c r="A791" s="38"/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38"/>
      <c r="AF791" s="38"/>
      <c r="AG791" s="38"/>
      <c r="AH791" s="38"/>
      <c r="AI791" s="38"/>
      <c r="AJ791" s="38"/>
      <c r="AK791" s="38"/>
      <c r="AL791" s="38"/>
      <c r="AM791" s="38"/>
      <c r="AN791" s="38"/>
      <c r="AO791" s="38"/>
      <c r="AP791" s="38"/>
    </row>
    <row r="792" spans="1:42" ht="12.75">
      <c r="A792" s="38"/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  <c r="AN792" s="38"/>
      <c r="AO792" s="38"/>
      <c r="AP792" s="38"/>
    </row>
    <row r="793" spans="1:42" ht="12.75">
      <c r="A793" s="38"/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F793" s="38"/>
      <c r="AG793" s="38"/>
      <c r="AH793" s="38"/>
      <c r="AI793" s="38"/>
      <c r="AJ793" s="38"/>
      <c r="AK793" s="38"/>
      <c r="AL793" s="38"/>
      <c r="AM793" s="38"/>
      <c r="AN793" s="38"/>
      <c r="AO793" s="38"/>
      <c r="AP793" s="38"/>
    </row>
    <row r="794" spans="1:42" ht="12.75">
      <c r="A794" s="38"/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38"/>
      <c r="AF794" s="38"/>
      <c r="AG794" s="38"/>
      <c r="AH794" s="38"/>
      <c r="AI794" s="38"/>
      <c r="AJ794" s="38"/>
      <c r="AK794" s="38"/>
      <c r="AL794" s="38"/>
      <c r="AM794" s="38"/>
      <c r="AN794" s="38"/>
      <c r="AO794" s="38"/>
      <c r="AP794" s="38"/>
    </row>
    <row r="795" spans="1:42" ht="12.75">
      <c r="A795" s="38"/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  <c r="AE795" s="38"/>
      <c r="AF795" s="38"/>
      <c r="AG795" s="38"/>
      <c r="AH795" s="38"/>
      <c r="AI795" s="38"/>
      <c r="AJ795" s="38"/>
      <c r="AK795" s="38"/>
      <c r="AL795" s="38"/>
      <c r="AM795" s="38"/>
      <c r="AN795" s="38"/>
      <c r="AO795" s="38"/>
      <c r="AP795" s="38"/>
    </row>
    <row r="796" spans="1:42" ht="12.75">
      <c r="A796" s="38"/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38"/>
      <c r="AO796" s="38"/>
      <c r="AP796" s="38"/>
    </row>
    <row r="797" spans="1:42" ht="12.75">
      <c r="A797" s="38"/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F797" s="38"/>
      <c r="AG797" s="38"/>
      <c r="AH797" s="38"/>
      <c r="AI797" s="38"/>
      <c r="AJ797" s="38"/>
      <c r="AK797" s="38"/>
      <c r="AL797" s="38"/>
      <c r="AM797" s="38"/>
      <c r="AN797" s="38"/>
      <c r="AO797" s="38"/>
      <c r="AP797" s="38"/>
    </row>
    <row r="798" spans="1:42" ht="12.75">
      <c r="A798" s="38"/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F798" s="38"/>
      <c r="AG798" s="38"/>
      <c r="AH798" s="38"/>
      <c r="AI798" s="38"/>
      <c r="AJ798" s="38"/>
      <c r="AK798" s="38"/>
      <c r="AL798" s="38"/>
      <c r="AM798" s="38"/>
      <c r="AN798" s="38"/>
      <c r="AO798" s="38"/>
      <c r="AP798" s="38"/>
    </row>
    <row r="799" spans="1:42" ht="12.75">
      <c r="A799" s="38"/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38"/>
      <c r="AF799" s="38"/>
      <c r="AG799" s="38"/>
      <c r="AH799" s="38"/>
      <c r="AI799" s="38"/>
      <c r="AJ799" s="38"/>
      <c r="AK799" s="38"/>
      <c r="AL799" s="38"/>
      <c r="AM799" s="38"/>
      <c r="AN799" s="38"/>
      <c r="AO799" s="38"/>
      <c r="AP799" s="38"/>
    </row>
    <row r="800" spans="1:42" ht="12.75">
      <c r="A800" s="38"/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F800" s="38"/>
      <c r="AG800" s="38"/>
      <c r="AH800" s="38"/>
      <c r="AI800" s="38"/>
      <c r="AJ800" s="38"/>
      <c r="AK800" s="38"/>
      <c r="AL800" s="38"/>
      <c r="AM800" s="38"/>
      <c r="AN800" s="38"/>
      <c r="AO800" s="38"/>
      <c r="AP800" s="38"/>
    </row>
    <row r="801" spans="1:42" ht="12.75">
      <c r="A801" s="38"/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F801" s="38"/>
      <c r="AG801" s="38"/>
      <c r="AH801" s="38"/>
      <c r="AI801" s="38"/>
      <c r="AJ801" s="38"/>
      <c r="AK801" s="38"/>
      <c r="AL801" s="38"/>
      <c r="AM801" s="38"/>
      <c r="AN801" s="38"/>
      <c r="AO801" s="38"/>
      <c r="AP801" s="38"/>
    </row>
    <row r="802" spans="1:42" ht="12.75">
      <c r="A802" s="38"/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F802" s="38"/>
      <c r="AG802" s="38"/>
      <c r="AH802" s="38"/>
      <c r="AI802" s="38"/>
      <c r="AJ802" s="38"/>
      <c r="AK802" s="38"/>
      <c r="AL802" s="38"/>
      <c r="AM802" s="38"/>
      <c r="AN802" s="38"/>
      <c r="AO802" s="38"/>
      <c r="AP802" s="38"/>
    </row>
    <row r="803" spans="1:42" ht="12.75">
      <c r="A803" s="38"/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F803" s="38"/>
      <c r="AG803" s="38"/>
      <c r="AH803" s="38"/>
      <c r="AI803" s="38"/>
      <c r="AJ803" s="38"/>
      <c r="AK803" s="38"/>
      <c r="AL803" s="38"/>
      <c r="AM803" s="38"/>
      <c r="AN803" s="38"/>
      <c r="AO803" s="38"/>
      <c r="AP803" s="38"/>
    </row>
    <row r="804" spans="1:42" ht="12.75">
      <c r="A804" s="38"/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F804" s="38"/>
      <c r="AG804" s="38"/>
      <c r="AH804" s="38"/>
      <c r="AI804" s="38"/>
      <c r="AJ804" s="38"/>
      <c r="AK804" s="38"/>
      <c r="AL804" s="38"/>
      <c r="AM804" s="38"/>
      <c r="AN804" s="38"/>
      <c r="AO804" s="38"/>
      <c r="AP804" s="38"/>
    </row>
    <row r="805" spans="1:42" ht="12.75">
      <c r="A805" s="38"/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F805" s="38"/>
      <c r="AG805" s="38"/>
      <c r="AH805" s="38"/>
      <c r="AI805" s="38"/>
      <c r="AJ805" s="38"/>
      <c r="AK805" s="38"/>
      <c r="AL805" s="38"/>
      <c r="AM805" s="38"/>
      <c r="AN805" s="38"/>
      <c r="AO805" s="38"/>
      <c r="AP805" s="38"/>
    </row>
    <row r="806" spans="1:42" ht="12.75">
      <c r="A806" s="38"/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F806" s="38"/>
      <c r="AG806" s="38"/>
      <c r="AH806" s="38"/>
      <c r="AI806" s="38"/>
      <c r="AJ806" s="38"/>
      <c r="AK806" s="38"/>
      <c r="AL806" s="38"/>
      <c r="AM806" s="38"/>
      <c r="AN806" s="38"/>
      <c r="AO806" s="38"/>
      <c r="AP806" s="38"/>
    </row>
    <row r="807" spans="1:42" ht="12.75">
      <c r="A807" s="38"/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F807" s="38"/>
      <c r="AG807" s="38"/>
      <c r="AH807" s="38"/>
      <c r="AI807" s="38"/>
      <c r="AJ807" s="38"/>
      <c r="AK807" s="38"/>
      <c r="AL807" s="38"/>
      <c r="AM807" s="38"/>
      <c r="AN807" s="38"/>
      <c r="AO807" s="38"/>
      <c r="AP807" s="38"/>
    </row>
    <row r="808" spans="1:42" ht="12.75">
      <c r="A808" s="38"/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F808" s="38"/>
      <c r="AG808" s="38"/>
      <c r="AH808" s="38"/>
      <c r="AI808" s="38"/>
      <c r="AJ808" s="38"/>
      <c r="AK808" s="38"/>
      <c r="AL808" s="38"/>
      <c r="AM808" s="38"/>
      <c r="AN808" s="38"/>
      <c r="AO808" s="38"/>
      <c r="AP808" s="38"/>
    </row>
    <row r="809" spans="1:42" ht="12.75">
      <c r="A809" s="38"/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F809" s="38"/>
      <c r="AG809" s="38"/>
      <c r="AH809" s="38"/>
      <c r="AI809" s="38"/>
      <c r="AJ809" s="38"/>
      <c r="AK809" s="38"/>
      <c r="AL809" s="38"/>
      <c r="AM809" s="38"/>
      <c r="AN809" s="38"/>
      <c r="AO809" s="38"/>
      <c r="AP809" s="38"/>
    </row>
    <row r="810" spans="1:42" ht="12.75">
      <c r="A810" s="38"/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F810" s="38"/>
      <c r="AG810" s="38"/>
      <c r="AH810" s="38"/>
      <c r="AI810" s="38"/>
      <c r="AJ810" s="38"/>
      <c r="AK810" s="38"/>
      <c r="AL810" s="38"/>
      <c r="AM810" s="38"/>
      <c r="AN810" s="38"/>
      <c r="AO810" s="38"/>
      <c r="AP810" s="38"/>
    </row>
    <row r="811" spans="1:42" ht="12.75">
      <c r="A811" s="38"/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F811" s="38"/>
      <c r="AG811" s="38"/>
      <c r="AH811" s="38"/>
      <c r="AI811" s="38"/>
      <c r="AJ811" s="38"/>
      <c r="AK811" s="38"/>
      <c r="AL811" s="38"/>
      <c r="AM811" s="38"/>
      <c r="AN811" s="38"/>
      <c r="AO811" s="38"/>
      <c r="AP811" s="38"/>
    </row>
    <row r="812" spans="1:42" ht="12.75">
      <c r="A812" s="38"/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F812" s="38"/>
      <c r="AG812" s="38"/>
      <c r="AH812" s="38"/>
      <c r="AI812" s="38"/>
      <c r="AJ812" s="38"/>
      <c r="AK812" s="38"/>
      <c r="AL812" s="38"/>
      <c r="AM812" s="38"/>
      <c r="AN812" s="38"/>
      <c r="AO812" s="38"/>
      <c r="AP812" s="38"/>
    </row>
    <row r="813" spans="1:42" ht="12.75">
      <c r="A813" s="38"/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F813" s="38"/>
      <c r="AG813" s="38"/>
      <c r="AH813" s="38"/>
      <c r="AI813" s="38"/>
      <c r="AJ813" s="38"/>
      <c r="AK813" s="38"/>
      <c r="AL813" s="38"/>
      <c r="AM813" s="38"/>
      <c r="AN813" s="38"/>
      <c r="AO813" s="38"/>
      <c r="AP813" s="38"/>
    </row>
    <row r="814" spans="1:42" ht="12.75">
      <c r="A814" s="38"/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F814" s="38"/>
      <c r="AG814" s="38"/>
      <c r="AH814" s="38"/>
      <c r="AI814" s="38"/>
      <c r="AJ814" s="38"/>
      <c r="AK814" s="38"/>
      <c r="AL814" s="38"/>
      <c r="AM814" s="38"/>
      <c r="AN814" s="38"/>
      <c r="AO814" s="38"/>
      <c r="AP814" s="38"/>
    </row>
    <row r="815" spans="1:42" ht="12.75">
      <c r="A815" s="38"/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F815" s="38"/>
      <c r="AG815" s="38"/>
      <c r="AH815" s="38"/>
      <c r="AI815" s="38"/>
      <c r="AJ815" s="38"/>
      <c r="AK815" s="38"/>
      <c r="AL815" s="38"/>
      <c r="AM815" s="38"/>
      <c r="AN815" s="38"/>
      <c r="AO815" s="38"/>
      <c r="AP815" s="38"/>
    </row>
    <row r="816" spans="1:42" ht="12.75">
      <c r="A816" s="38"/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F816" s="38"/>
      <c r="AG816" s="38"/>
      <c r="AH816" s="38"/>
      <c r="AI816" s="38"/>
      <c r="AJ816" s="38"/>
      <c r="AK816" s="38"/>
      <c r="AL816" s="38"/>
      <c r="AM816" s="38"/>
      <c r="AN816" s="38"/>
      <c r="AO816" s="38"/>
      <c r="AP816" s="38"/>
    </row>
    <row r="817" spans="1:42" ht="12.75">
      <c r="A817" s="38"/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F817" s="38"/>
      <c r="AG817" s="38"/>
      <c r="AH817" s="38"/>
      <c r="AI817" s="38"/>
      <c r="AJ817" s="38"/>
      <c r="AK817" s="38"/>
      <c r="AL817" s="38"/>
      <c r="AM817" s="38"/>
      <c r="AN817" s="38"/>
      <c r="AO817" s="38"/>
      <c r="AP817" s="38"/>
    </row>
    <row r="818" spans="1:42" ht="12.75">
      <c r="A818" s="38"/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F818" s="38"/>
      <c r="AG818" s="38"/>
      <c r="AH818" s="38"/>
      <c r="AI818" s="38"/>
      <c r="AJ818" s="38"/>
      <c r="AK818" s="38"/>
      <c r="AL818" s="38"/>
      <c r="AM818" s="38"/>
      <c r="AN818" s="38"/>
      <c r="AO818" s="38"/>
      <c r="AP818" s="38"/>
    </row>
    <row r="819" spans="1:42" ht="12.75">
      <c r="A819" s="38"/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F819" s="38"/>
      <c r="AG819" s="38"/>
      <c r="AH819" s="38"/>
      <c r="AI819" s="38"/>
      <c r="AJ819" s="38"/>
      <c r="AK819" s="38"/>
      <c r="AL819" s="38"/>
      <c r="AM819" s="38"/>
      <c r="AN819" s="38"/>
      <c r="AO819" s="38"/>
      <c r="AP819" s="38"/>
    </row>
    <row r="820" spans="1:42" ht="12.75">
      <c r="A820" s="38"/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F820" s="38"/>
      <c r="AG820" s="38"/>
      <c r="AH820" s="38"/>
      <c r="AI820" s="38"/>
      <c r="AJ820" s="38"/>
      <c r="AK820" s="38"/>
      <c r="AL820" s="38"/>
      <c r="AM820" s="38"/>
      <c r="AN820" s="38"/>
      <c r="AO820" s="38"/>
      <c r="AP820" s="38"/>
    </row>
    <row r="821" spans="1:42" ht="12.75">
      <c r="A821" s="38"/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F821" s="38"/>
      <c r="AG821" s="38"/>
      <c r="AH821" s="38"/>
      <c r="AI821" s="38"/>
      <c r="AJ821" s="38"/>
      <c r="AK821" s="38"/>
      <c r="AL821" s="38"/>
      <c r="AM821" s="38"/>
      <c r="AN821" s="38"/>
      <c r="AO821" s="38"/>
      <c r="AP821" s="38"/>
    </row>
    <row r="822" spans="1:42" ht="12.75">
      <c r="A822" s="38"/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38"/>
      <c r="AF822" s="38"/>
      <c r="AG822" s="38"/>
      <c r="AH822" s="38"/>
      <c r="AI822" s="38"/>
      <c r="AJ822" s="38"/>
      <c r="AK822" s="38"/>
      <c r="AL822" s="38"/>
      <c r="AM822" s="38"/>
      <c r="AN822" s="38"/>
      <c r="AO822" s="38"/>
      <c r="AP822" s="38"/>
    </row>
    <row r="823" spans="1:42" ht="12.75">
      <c r="A823" s="38"/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F823" s="38"/>
      <c r="AG823" s="38"/>
      <c r="AH823" s="38"/>
      <c r="AI823" s="38"/>
      <c r="AJ823" s="38"/>
      <c r="AK823" s="38"/>
      <c r="AL823" s="38"/>
      <c r="AM823" s="38"/>
      <c r="AN823" s="38"/>
      <c r="AO823" s="38"/>
      <c r="AP823" s="38"/>
    </row>
    <row r="824" spans="1:42" ht="12.75">
      <c r="A824" s="38"/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F824" s="38"/>
      <c r="AG824" s="38"/>
      <c r="AH824" s="38"/>
      <c r="AI824" s="38"/>
      <c r="AJ824" s="38"/>
      <c r="AK824" s="38"/>
      <c r="AL824" s="38"/>
      <c r="AM824" s="38"/>
      <c r="AN824" s="38"/>
      <c r="AO824" s="38"/>
      <c r="AP824" s="38"/>
    </row>
    <row r="825" spans="1:42" ht="12.75">
      <c r="A825" s="38"/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38"/>
      <c r="AF825" s="38"/>
      <c r="AG825" s="38"/>
      <c r="AH825" s="38"/>
      <c r="AI825" s="38"/>
      <c r="AJ825" s="38"/>
      <c r="AK825" s="38"/>
      <c r="AL825" s="38"/>
      <c r="AM825" s="38"/>
      <c r="AN825" s="38"/>
      <c r="AO825" s="38"/>
      <c r="AP825" s="38"/>
    </row>
    <row r="826" spans="1:42" ht="12.75">
      <c r="A826" s="38"/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F826" s="38"/>
      <c r="AG826" s="38"/>
      <c r="AH826" s="38"/>
      <c r="AI826" s="38"/>
      <c r="AJ826" s="38"/>
      <c r="AK826" s="38"/>
      <c r="AL826" s="38"/>
      <c r="AM826" s="38"/>
      <c r="AN826" s="38"/>
      <c r="AO826" s="38"/>
      <c r="AP826" s="38"/>
    </row>
    <row r="827" spans="1:42" ht="12.75">
      <c r="A827" s="38"/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  <c r="AE827" s="38"/>
      <c r="AF827" s="38"/>
      <c r="AG827" s="38"/>
      <c r="AH827" s="38"/>
      <c r="AI827" s="38"/>
      <c r="AJ827" s="38"/>
      <c r="AK827" s="38"/>
      <c r="AL827" s="38"/>
      <c r="AM827" s="38"/>
      <c r="AN827" s="38"/>
      <c r="AO827" s="38"/>
      <c r="AP827" s="38"/>
    </row>
    <row r="828" spans="1:42" ht="12.75">
      <c r="A828" s="38"/>
      <c r="B828" s="3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F828" s="38"/>
      <c r="AG828" s="38"/>
      <c r="AH828" s="38"/>
      <c r="AI828" s="38"/>
      <c r="AJ828" s="38"/>
      <c r="AK828" s="38"/>
      <c r="AL828" s="38"/>
      <c r="AM828" s="38"/>
      <c r="AN828" s="38"/>
      <c r="AO828" s="38"/>
      <c r="AP828" s="38"/>
    </row>
    <row r="829" spans="1:42" ht="12.75">
      <c r="A829" s="38"/>
      <c r="B829" s="3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F829" s="38"/>
      <c r="AG829" s="38"/>
      <c r="AH829" s="38"/>
      <c r="AI829" s="38"/>
      <c r="AJ829" s="38"/>
      <c r="AK829" s="38"/>
      <c r="AL829" s="38"/>
      <c r="AM829" s="38"/>
      <c r="AN829" s="38"/>
      <c r="AO829" s="38"/>
      <c r="AP829" s="38"/>
    </row>
    <row r="830" spans="1:42" ht="12.75">
      <c r="A830" s="38"/>
      <c r="B830" s="3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F830" s="38"/>
      <c r="AG830" s="38"/>
      <c r="AH830" s="38"/>
      <c r="AI830" s="38"/>
      <c r="AJ830" s="38"/>
      <c r="AK830" s="38"/>
      <c r="AL830" s="38"/>
      <c r="AM830" s="38"/>
      <c r="AN830" s="38"/>
      <c r="AO830" s="38"/>
      <c r="AP830" s="38"/>
    </row>
    <row r="831" spans="1:42" ht="12.75">
      <c r="A831" s="38"/>
      <c r="B831" s="3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  <c r="AE831" s="38"/>
      <c r="AF831" s="38"/>
      <c r="AG831" s="38"/>
      <c r="AH831" s="38"/>
      <c r="AI831" s="38"/>
      <c r="AJ831" s="38"/>
      <c r="AK831" s="38"/>
      <c r="AL831" s="38"/>
      <c r="AM831" s="38"/>
      <c r="AN831" s="38"/>
      <c r="AO831" s="38"/>
      <c r="AP831" s="38"/>
    </row>
    <row r="832" spans="1:42" ht="12.75">
      <c r="A832" s="38"/>
      <c r="B832" s="3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F832" s="38"/>
      <c r="AG832" s="38"/>
      <c r="AH832" s="38"/>
      <c r="AI832" s="38"/>
      <c r="AJ832" s="38"/>
      <c r="AK832" s="38"/>
      <c r="AL832" s="38"/>
      <c r="AM832" s="38"/>
      <c r="AN832" s="38"/>
      <c r="AO832" s="38"/>
      <c r="AP832" s="38"/>
    </row>
    <row r="833" spans="1:42" ht="12.75">
      <c r="A833" s="38"/>
      <c r="B833" s="3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F833" s="38"/>
      <c r="AG833" s="38"/>
      <c r="AH833" s="38"/>
      <c r="AI833" s="38"/>
      <c r="AJ833" s="38"/>
      <c r="AK833" s="38"/>
      <c r="AL833" s="38"/>
      <c r="AM833" s="38"/>
      <c r="AN833" s="38"/>
      <c r="AO833" s="38"/>
      <c r="AP833" s="38"/>
    </row>
    <row r="834" spans="1:42" ht="12.75">
      <c r="A834" s="38"/>
      <c r="B834" s="3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  <c r="AE834" s="38"/>
      <c r="AF834" s="38"/>
      <c r="AG834" s="38"/>
      <c r="AH834" s="38"/>
      <c r="AI834" s="38"/>
      <c r="AJ834" s="38"/>
      <c r="AK834" s="38"/>
      <c r="AL834" s="38"/>
      <c r="AM834" s="38"/>
      <c r="AN834" s="38"/>
      <c r="AO834" s="38"/>
      <c r="AP834" s="38"/>
    </row>
    <row r="835" spans="1:42" ht="12.75">
      <c r="A835" s="38"/>
      <c r="B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  <c r="AE835" s="38"/>
      <c r="AF835" s="38"/>
      <c r="AG835" s="38"/>
      <c r="AH835" s="38"/>
      <c r="AI835" s="38"/>
      <c r="AJ835" s="38"/>
      <c r="AK835" s="38"/>
      <c r="AL835" s="38"/>
      <c r="AM835" s="38"/>
      <c r="AN835" s="38"/>
      <c r="AO835" s="38"/>
      <c r="AP835" s="38"/>
    </row>
    <row r="836" spans="1:42" ht="12.75">
      <c r="A836" s="38"/>
      <c r="B836" s="3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F836" s="38"/>
      <c r="AG836" s="38"/>
      <c r="AH836" s="38"/>
      <c r="AI836" s="38"/>
      <c r="AJ836" s="38"/>
      <c r="AK836" s="38"/>
      <c r="AL836" s="38"/>
      <c r="AM836" s="38"/>
      <c r="AN836" s="38"/>
      <c r="AO836" s="38"/>
      <c r="AP836" s="38"/>
    </row>
    <row r="837" spans="1:42" ht="12.75">
      <c r="A837" s="38"/>
      <c r="B837" s="3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F837" s="38"/>
      <c r="AG837" s="38"/>
      <c r="AH837" s="38"/>
      <c r="AI837" s="38"/>
      <c r="AJ837" s="38"/>
      <c r="AK837" s="38"/>
      <c r="AL837" s="38"/>
      <c r="AM837" s="38"/>
      <c r="AN837" s="38"/>
      <c r="AO837" s="38"/>
      <c r="AP837" s="38"/>
    </row>
    <row r="838" spans="1:42" ht="12.75">
      <c r="A838" s="38"/>
      <c r="B838" s="3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F838" s="38"/>
      <c r="AG838" s="38"/>
      <c r="AH838" s="38"/>
      <c r="AI838" s="38"/>
      <c r="AJ838" s="38"/>
      <c r="AK838" s="38"/>
      <c r="AL838" s="38"/>
      <c r="AM838" s="38"/>
      <c r="AN838" s="38"/>
      <c r="AO838" s="38"/>
      <c r="AP838" s="38"/>
    </row>
    <row r="839" spans="1:42" ht="12.75">
      <c r="A839" s="38"/>
      <c r="B839" s="3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38"/>
      <c r="AF839" s="38"/>
      <c r="AG839" s="38"/>
      <c r="AH839" s="38"/>
      <c r="AI839" s="38"/>
      <c r="AJ839" s="38"/>
      <c r="AK839" s="38"/>
      <c r="AL839" s="38"/>
      <c r="AM839" s="38"/>
      <c r="AN839" s="38"/>
      <c r="AO839" s="38"/>
      <c r="AP839" s="38"/>
    </row>
    <row r="840" spans="1:42" ht="12.75">
      <c r="A840" s="38"/>
      <c r="B840" s="3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  <c r="AE840" s="38"/>
      <c r="AF840" s="38"/>
      <c r="AG840" s="38"/>
      <c r="AH840" s="38"/>
      <c r="AI840" s="38"/>
      <c r="AJ840" s="38"/>
      <c r="AK840" s="38"/>
      <c r="AL840" s="38"/>
      <c r="AM840" s="38"/>
      <c r="AN840" s="38"/>
      <c r="AO840" s="38"/>
      <c r="AP840" s="38"/>
    </row>
    <row r="841" spans="1:42" ht="12.75">
      <c r="A841" s="38"/>
      <c r="B841" s="3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F841" s="38"/>
      <c r="AG841" s="38"/>
      <c r="AH841" s="38"/>
      <c r="AI841" s="38"/>
      <c r="AJ841" s="38"/>
      <c r="AK841" s="38"/>
      <c r="AL841" s="38"/>
      <c r="AM841" s="38"/>
      <c r="AN841" s="38"/>
      <c r="AO841" s="38"/>
      <c r="AP841" s="38"/>
    </row>
    <row r="842" spans="1:42" ht="12.75">
      <c r="A842" s="38"/>
      <c r="B842" s="3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F842" s="38"/>
      <c r="AG842" s="38"/>
      <c r="AH842" s="38"/>
      <c r="AI842" s="38"/>
      <c r="AJ842" s="38"/>
      <c r="AK842" s="38"/>
      <c r="AL842" s="38"/>
      <c r="AM842" s="38"/>
      <c r="AN842" s="38"/>
      <c r="AO842" s="38"/>
      <c r="AP842" s="38"/>
    </row>
    <row r="843" spans="1:42" ht="12.75">
      <c r="A843" s="38"/>
      <c r="B843" s="3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  <c r="AE843" s="38"/>
      <c r="AF843" s="38"/>
      <c r="AG843" s="38"/>
      <c r="AH843" s="38"/>
      <c r="AI843" s="38"/>
      <c r="AJ843" s="38"/>
      <c r="AK843" s="38"/>
      <c r="AL843" s="38"/>
      <c r="AM843" s="38"/>
      <c r="AN843" s="38"/>
      <c r="AO843" s="38"/>
      <c r="AP843" s="38"/>
    </row>
    <row r="844" spans="1:42" ht="12.75">
      <c r="A844" s="38"/>
      <c r="B844" s="3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F844" s="38"/>
      <c r="AG844" s="38"/>
      <c r="AH844" s="38"/>
      <c r="AI844" s="38"/>
      <c r="AJ844" s="38"/>
      <c r="AK844" s="38"/>
      <c r="AL844" s="38"/>
      <c r="AM844" s="38"/>
      <c r="AN844" s="38"/>
      <c r="AO844" s="38"/>
      <c r="AP844" s="38"/>
    </row>
    <row r="845" spans="1:42" ht="12.75">
      <c r="A845" s="38"/>
      <c r="B845" s="3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38"/>
      <c r="AF845" s="38"/>
      <c r="AG845" s="38"/>
      <c r="AH845" s="38"/>
      <c r="AI845" s="38"/>
      <c r="AJ845" s="38"/>
      <c r="AK845" s="38"/>
      <c r="AL845" s="38"/>
      <c r="AM845" s="38"/>
      <c r="AN845" s="38"/>
      <c r="AO845" s="38"/>
      <c r="AP845" s="38"/>
    </row>
    <row r="846" spans="1:42" ht="12.75">
      <c r="A846" s="38"/>
      <c r="B846" s="3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  <c r="AE846" s="38"/>
      <c r="AF846" s="38"/>
      <c r="AG846" s="38"/>
      <c r="AH846" s="38"/>
      <c r="AI846" s="38"/>
      <c r="AJ846" s="38"/>
      <c r="AK846" s="38"/>
      <c r="AL846" s="38"/>
      <c r="AM846" s="38"/>
      <c r="AN846" s="38"/>
      <c r="AO846" s="38"/>
      <c r="AP846" s="38"/>
    </row>
    <row r="847" spans="1:42" ht="12.75">
      <c r="A847" s="38"/>
      <c r="B847" s="3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  <c r="AE847" s="38"/>
      <c r="AF847" s="38"/>
      <c r="AG847" s="38"/>
      <c r="AH847" s="38"/>
      <c r="AI847" s="38"/>
      <c r="AJ847" s="38"/>
      <c r="AK847" s="38"/>
      <c r="AL847" s="38"/>
      <c r="AM847" s="38"/>
      <c r="AN847" s="38"/>
      <c r="AO847" s="38"/>
      <c r="AP847" s="38"/>
    </row>
    <row r="848" spans="1:42" ht="12.75">
      <c r="A848" s="38"/>
      <c r="B848" s="3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F848" s="38"/>
      <c r="AG848" s="38"/>
      <c r="AH848" s="38"/>
      <c r="AI848" s="38"/>
      <c r="AJ848" s="38"/>
      <c r="AK848" s="38"/>
      <c r="AL848" s="38"/>
      <c r="AM848" s="38"/>
      <c r="AN848" s="38"/>
      <c r="AO848" s="38"/>
      <c r="AP848" s="38"/>
    </row>
    <row r="849" spans="1:42" ht="12.75">
      <c r="A849" s="38"/>
      <c r="B849" s="3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38"/>
      <c r="AF849" s="38"/>
      <c r="AG849" s="38"/>
      <c r="AH849" s="38"/>
      <c r="AI849" s="38"/>
      <c r="AJ849" s="38"/>
      <c r="AK849" s="38"/>
      <c r="AL849" s="38"/>
      <c r="AM849" s="38"/>
      <c r="AN849" s="38"/>
      <c r="AO849" s="38"/>
      <c r="AP849" s="38"/>
    </row>
    <row r="850" spans="1:42" ht="12.75">
      <c r="A850" s="38"/>
      <c r="B850" s="38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38"/>
      <c r="AF850" s="38"/>
      <c r="AG850" s="38"/>
      <c r="AH850" s="38"/>
      <c r="AI850" s="38"/>
      <c r="AJ850" s="38"/>
      <c r="AK850" s="38"/>
      <c r="AL850" s="38"/>
      <c r="AM850" s="38"/>
      <c r="AN850" s="38"/>
      <c r="AO850" s="38"/>
      <c r="AP850" s="38"/>
    </row>
    <row r="851" spans="1:42" ht="12.75">
      <c r="A851" s="38"/>
      <c r="B851" s="38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38"/>
      <c r="AF851" s="38"/>
      <c r="AG851" s="38"/>
      <c r="AH851" s="38"/>
      <c r="AI851" s="38"/>
      <c r="AJ851" s="38"/>
      <c r="AK851" s="38"/>
      <c r="AL851" s="38"/>
      <c r="AM851" s="38"/>
      <c r="AN851" s="38"/>
      <c r="AO851" s="38"/>
      <c r="AP851" s="38"/>
    </row>
    <row r="852" spans="1:42" ht="12.75">
      <c r="A852" s="38"/>
      <c r="B852" s="3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  <c r="AE852" s="38"/>
      <c r="AF852" s="38"/>
      <c r="AG852" s="38"/>
      <c r="AH852" s="38"/>
      <c r="AI852" s="38"/>
      <c r="AJ852" s="38"/>
      <c r="AK852" s="38"/>
      <c r="AL852" s="38"/>
      <c r="AM852" s="38"/>
      <c r="AN852" s="38"/>
      <c r="AO852" s="38"/>
      <c r="AP852" s="38"/>
    </row>
    <row r="853" spans="1:42" ht="12.75">
      <c r="A853" s="38"/>
      <c r="B853" s="38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  <c r="AE853" s="38"/>
      <c r="AF853" s="38"/>
      <c r="AG853" s="38"/>
      <c r="AH853" s="38"/>
      <c r="AI853" s="38"/>
      <c r="AJ853" s="38"/>
      <c r="AK853" s="38"/>
      <c r="AL853" s="38"/>
      <c r="AM853" s="38"/>
      <c r="AN853" s="38"/>
      <c r="AO853" s="38"/>
      <c r="AP853" s="38"/>
    </row>
    <row r="854" spans="1:42" ht="12.75">
      <c r="A854" s="38"/>
      <c r="B854" s="38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  <c r="AE854" s="38"/>
      <c r="AF854" s="38"/>
      <c r="AG854" s="38"/>
      <c r="AH854" s="38"/>
      <c r="AI854" s="38"/>
      <c r="AJ854" s="38"/>
      <c r="AK854" s="38"/>
      <c r="AL854" s="38"/>
      <c r="AM854" s="38"/>
      <c r="AN854" s="38"/>
      <c r="AO854" s="38"/>
      <c r="AP854" s="38"/>
    </row>
    <row r="855" spans="1:42" ht="12.75">
      <c r="A855" s="38"/>
      <c r="B855" s="38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F855" s="38"/>
      <c r="AG855" s="38"/>
      <c r="AH855" s="38"/>
      <c r="AI855" s="38"/>
      <c r="AJ855" s="38"/>
      <c r="AK855" s="38"/>
      <c r="AL855" s="38"/>
      <c r="AM855" s="38"/>
      <c r="AN855" s="38"/>
      <c r="AO855" s="38"/>
      <c r="AP855" s="38"/>
    </row>
    <row r="856" spans="1:42" ht="12.75">
      <c r="A856" s="38"/>
      <c r="B856" s="38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F856" s="38"/>
      <c r="AG856" s="38"/>
      <c r="AH856" s="38"/>
      <c r="AI856" s="38"/>
      <c r="AJ856" s="38"/>
      <c r="AK856" s="38"/>
      <c r="AL856" s="38"/>
      <c r="AM856" s="38"/>
      <c r="AN856" s="38"/>
      <c r="AO856" s="38"/>
      <c r="AP856" s="38"/>
    </row>
    <row r="857" spans="1:42" ht="12.75">
      <c r="A857" s="38"/>
      <c r="B857" s="38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38"/>
      <c r="AF857" s="38"/>
      <c r="AG857" s="38"/>
      <c r="AH857" s="38"/>
      <c r="AI857" s="38"/>
      <c r="AJ857" s="38"/>
      <c r="AK857" s="38"/>
      <c r="AL857" s="38"/>
      <c r="AM857" s="38"/>
      <c r="AN857" s="38"/>
      <c r="AO857" s="38"/>
      <c r="AP857" s="38"/>
    </row>
    <row r="858" spans="1:42" ht="12.75">
      <c r="A858" s="38"/>
      <c r="B858" s="38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  <c r="AE858" s="38"/>
      <c r="AF858" s="38"/>
      <c r="AG858" s="38"/>
      <c r="AH858" s="38"/>
      <c r="AI858" s="38"/>
      <c r="AJ858" s="38"/>
      <c r="AK858" s="38"/>
      <c r="AL858" s="38"/>
      <c r="AM858" s="38"/>
      <c r="AN858" s="38"/>
      <c r="AO858" s="38"/>
      <c r="AP858" s="38"/>
    </row>
    <row r="859" spans="1:42" ht="12.75">
      <c r="A859" s="38"/>
      <c r="B859" s="38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  <c r="AE859" s="38"/>
      <c r="AF859" s="38"/>
      <c r="AG859" s="38"/>
      <c r="AH859" s="38"/>
      <c r="AI859" s="38"/>
      <c r="AJ859" s="38"/>
      <c r="AK859" s="38"/>
      <c r="AL859" s="38"/>
      <c r="AM859" s="38"/>
      <c r="AN859" s="38"/>
      <c r="AO859" s="38"/>
      <c r="AP859" s="38"/>
    </row>
    <row r="860" spans="1:42" ht="12.75">
      <c r="A860" s="38"/>
      <c r="B860" s="38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  <c r="AE860" s="38"/>
      <c r="AF860" s="38"/>
      <c r="AG860" s="38"/>
      <c r="AH860" s="38"/>
      <c r="AI860" s="38"/>
      <c r="AJ860" s="38"/>
      <c r="AK860" s="38"/>
      <c r="AL860" s="38"/>
      <c r="AM860" s="38"/>
      <c r="AN860" s="38"/>
      <c r="AO860" s="38"/>
      <c r="AP860" s="38"/>
    </row>
    <row r="861" spans="1:42" ht="12.75">
      <c r="A861" s="38"/>
      <c r="B861" s="38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  <c r="AE861" s="38"/>
      <c r="AF861" s="38"/>
      <c r="AG861" s="38"/>
      <c r="AH861" s="38"/>
      <c r="AI861" s="38"/>
      <c r="AJ861" s="38"/>
      <c r="AK861" s="38"/>
      <c r="AL861" s="38"/>
      <c r="AM861" s="38"/>
      <c r="AN861" s="38"/>
      <c r="AO861" s="38"/>
      <c r="AP861" s="38"/>
    </row>
    <row r="862" spans="1:42" ht="12.75">
      <c r="A862" s="38"/>
      <c r="B862" s="38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38"/>
      <c r="AF862" s="38"/>
      <c r="AG862" s="38"/>
      <c r="AH862" s="38"/>
      <c r="AI862" s="38"/>
      <c r="AJ862" s="38"/>
      <c r="AK862" s="38"/>
      <c r="AL862" s="38"/>
      <c r="AM862" s="38"/>
      <c r="AN862" s="38"/>
      <c r="AO862" s="38"/>
      <c r="AP862" s="38"/>
    </row>
    <row r="863" spans="1:42" ht="12.75">
      <c r="A863" s="38"/>
      <c r="B863" s="38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  <c r="AE863" s="38"/>
      <c r="AF863" s="38"/>
      <c r="AG863" s="38"/>
      <c r="AH863" s="38"/>
      <c r="AI863" s="38"/>
      <c r="AJ863" s="38"/>
      <c r="AK863" s="38"/>
      <c r="AL863" s="38"/>
      <c r="AM863" s="38"/>
      <c r="AN863" s="38"/>
      <c r="AO863" s="38"/>
      <c r="AP863" s="38"/>
    </row>
    <row r="864" spans="1:42" ht="12.75">
      <c r="A864" s="38"/>
      <c r="B864" s="38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  <c r="AE864" s="38"/>
      <c r="AF864" s="38"/>
      <c r="AG864" s="38"/>
      <c r="AH864" s="38"/>
      <c r="AI864" s="38"/>
      <c r="AJ864" s="38"/>
      <c r="AK864" s="38"/>
      <c r="AL864" s="38"/>
      <c r="AM864" s="38"/>
      <c r="AN864" s="38"/>
      <c r="AO864" s="38"/>
      <c r="AP864" s="38"/>
    </row>
    <row r="865" spans="1:42" ht="12.75">
      <c r="A865" s="38"/>
      <c r="B865" s="38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F865" s="38"/>
      <c r="AG865" s="38"/>
      <c r="AH865" s="38"/>
      <c r="AI865" s="38"/>
      <c r="AJ865" s="38"/>
      <c r="AK865" s="38"/>
      <c r="AL865" s="38"/>
      <c r="AM865" s="38"/>
      <c r="AN865" s="38"/>
      <c r="AO865" s="38"/>
      <c r="AP865" s="38"/>
    </row>
    <row r="866" spans="1:42" ht="12.75">
      <c r="A866" s="38"/>
      <c r="B866" s="38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8"/>
      <c r="AF866" s="38"/>
      <c r="AG866" s="38"/>
      <c r="AH866" s="38"/>
      <c r="AI866" s="38"/>
      <c r="AJ866" s="38"/>
      <c r="AK866" s="38"/>
      <c r="AL866" s="38"/>
      <c r="AM866" s="38"/>
      <c r="AN866" s="38"/>
      <c r="AO866" s="38"/>
      <c r="AP866" s="38"/>
    </row>
    <row r="867" spans="1:42" ht="12.75">
      <c r="A867" s="38"/>
      <c r="B867" s="38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F867" s="38"/>
      <c r="AG867" s="38"/>
      <c r="AH867" s="38"/>
      <c r="AI867" s="38"/>
      <c r="AJ867" s="38"/>
      <c r="AK867" s="38"/>
      <c r="AL867" s="38"/>
      <c r="AM867" s="38"/>
      <c r="AN867" s="38"/>
      <c r="AO867" s="38"/>
      <c r="AP867" s="38"/>
    </row>
    <row r="868" spans="1:42" ht="12.75">
      <c r="A868" s="38"/>
      <c r="B868" s="38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F868" s="38"/>
      <c r="AG868" s="38"/>
      <c r="AH868" s="38"/>
      <c r="AI868" s="38"/>
      <c r="AJ868" s="38"/>
      <c r="AK868" s="38"/>
      <c r="AL868" s="38"/>
      <c r="AM868" s="38"/>
      <c r="AN868" s="38"/>
      <c r="AO868" s="38"/>
      <c r="AP868" s="38"/>
    </row>
    <row r="869" spans="1:42" ht="12.75">
      <c r="A869" s="38"/>
      <c r="B869" s="38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  <c r="AE869" s="38"/>
      <c r="AF869" s="38"/>
      <c r="AG869" s="38"/>
      <c r="AH869" s="38"/>
      <c r="AI869" s="38"/>
      <c r="AJ869" s="38"/>
      <c r="AK869" s="38"/>
      <c r="AL869" s="38"/>
      <c r="AM869" s="38"/>
      <c r="AN869" s="38"/>
      <c r="AO869" s="38"/>
      <c r="AP869" s="38"/>
    </row>
    <row r="870" spans="1:42" ht="12.75">
      <c r="A870" s="38"/>
      <c r="B870" s="38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F870" s="38"/>
      <c r="AG870" s="38"/>
      <c r="AH870" s="38"/>
      <c r="AI870" s="38"/>
      <c r="AJ870" s="38"/>
      <c r="AK870" s="38"/>
      <c r="AL870" s="38"/>
      <c r="AM870" s="38"/>
      <c r="AN870" s="38"/>
      <c r="AO870" s="38"/>
      <c r="AP870" s="38"/>
    </row>
    <row r="871" spans="1:42" ht="12.75">
      <c r="A871" s="38"/>
      <c r="B871" s="38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38"/>
      <c r="AF871" s="38"/>
      <c r="AG871" s="38"/>
      <c r="AH871" s="38"/>
      <c r="AI871" s="38"/>
      <c r="AJ871" s="38"/>
      <c r="AK871" s="38"/>
      <c r="AL871" s="38"/>
      <c r="AM871" s="38"/>
      <c r="AN871" s="38"/>
      <c r="AO871" s="38"/>
      <c r="AP871" s="38"/>
    </row>
    <row r="872" spans="1:42" ht="12.75">
      <c r="A872" s="38"/>
      <c r="B872" s="38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F872" s="38"/>
      <c r="AG872" s="38"/>
      <c r="AH872" s="38"/>
      <c r="AI872" s="38"/>
      <c r="AJ872" s="38"/>
      <c r="AK872" s="38"/>
      <c r="AL872" s="38"/>
      <c r="AM872" s="38"/>
      <c r="AN872" s="38"/>
      <c r="AO872" s="38"/>
      <c r="AP872" s="38"/>
    </row>
    <row r="873" spans="1:42" ht="12.75">
      <c r="A873" s="38"/>
      <c r="B873" s="38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F873" s="38"/>
      <c r="AG873" s="38"/>
      <c r="AH873" s="38"/>
      <c r="AI873" s="38"/>
      <c r="AJ873" s="38"/>
      <c r="AK873" s="38"/>
      <c r="AL873" s="38"/>
      <c r="AM873" s="38"/>
      <c r="AN873" s="38"/>
      <c r="AO873" s="38"/>
      <c r="AP873" s="38"/>
    </row>
    <row r="874" spans="1:42" ht="12.75">
      <c r="A874" s="38"/>
      <c r="B874" s="38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38"/>
      <c r="AF874" s="38"/>
      <c r="AG874" s="38"/>
      <c r="AH874" s="38"/>
      <c r="AI874" s="38"/>
      <c r="AJ874" s="38"/>
      <c r="AK874" s="38"/>
      <c r="AL874" s="38"/>
      <c r="AM874" s="38"/>
      <c r="AN874" s="38"/>
      <c r="AO874" s="38"/>
      <c r="AP874" s="38"/>
    </row>
    <row r="875" spans="1:42" ht="12.75">
      <c r="A875" s="38"/>
      <c r="B875" s="38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  <c r="AE875" s="38"/>
      <c r="AF875" s="38"/>
      <c r="AG875" s="38"/>
      <c r="AH875" s="38"/>
      <c r="AI875" s="38"/>
      <c r="AJ875" s="38"/>
      <c r="AK875" s="38"/>
      <c r="AL875" s="38"/>
      <c r="AM875" s="38"/>
      <c r="AN875" s="38"/>
      <c r="AO875" s="38"/>
      <c r="AP875" s="38"/>
    </row>
    <row r="876" spans="1:42" ht="12.75">
      <c r="A876" s="38"/>
      <c r="B876" s="38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38"/>
      <c r="AF876" s="38"/>
      <c r="AG876" s="38"/>
      <c r="AH876" s="38"/>
      <c r="AI876" s="38"/>
      <c r="AJ876" s="38"/>
      <c r="AK876" s="38"/>
      <c r="AL876" s="38"/>
      <c r="AM876" s="38"/>
      <c r="AN876" s="38"/>
      <c r="AO876" s="38"/>
      <c r="AP876" s="38"/>
    </row>
    <row r="877" spans="1:42" ht="12.75">
      <c r="A877" s="38"/>
      <c r="B877" s="38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  <c r="AE877" s="38"/>
      <c r="AF877" s="38"/>
      <c r="AG877" s="38"/>
      <c r="AH877" s="38"/>
      <c r="AI877" s="38"/>
      <c r="AJ877" s="38"/>
      <c r="AK877" s="38"/>
      <c r="AL877" s="38"/>
      <c r="AM877" s="38"/>
      <c r="AN877" s="38"/>
      <c r="AO877" s="38"/>
      <c r="AP877" s="38"/>
    </row>
    <row r="878" spans="1:42" ht="12.75">
      <c r="A878" s="38"/>
      <c r="B878" s="38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  <c r="AE878" s="38"/>
      <c r="AF878" s="38"/>
      <c r="AG878" s="38"/>
      <c r="AH878" s="38"/>
      <c r="AI878" s="38"/>
      <c r="AJ878" s="38"/>
      <c r="AK878" s="38"/>
      <c r="AL878" s="38"/>
      <c r="AM878" s="38"/>
      <c r="AN878" s="38"/>
      <c r="AO878" s="38"/>
      <c r="AP878" s="38"/>
    </row>
    <row r="879" spans="1:42" ht="12.75">
      <c r="A879" s="38"/>
      <c r="B879" s="38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  <c r="AE879" s="38"/>
      <c r="AF879" s="38"/>
      <c r="AG879" s="38"/>
      <c r="AH879" s="38"/>
      <c r="AI879" s="38"/>
      <c r="AJ879" s="38"/>
      <c r="AK879" s="38"/>
      <c r="AL879" s="38"/>
      <c r="AM879" s="38"/>
      <c r="AN879" s="38"/>
      <c r="AO879" s="38"/>
      <c r="AP879" s="38"/>
    </row>
    <row r="880" spans="1:42" ht="12.75">
      <c r="A880" s="38"/>
      <c r="B880" s="38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F880" s="38"/>
      <c r="AG880" s="38"/>
      <c r="AH880" s="38"/>
      <c r="AI880" s="38"/>
      <c r="AJ880" s="38"/>
      <c r="AK880" s="38"/>
      <c r="AL880" s="38"/>
      <c r="AM880" s="38"/>
      <c r="AN880" s="38"/>
      <c r="AO880" s="38"/>
      <c r="AP880" s="38"/>
    </row>
    <row r="881" spans="1:42" ht="12.75">
      <c r="A881" s="38"/>
      <c r="B881" s="38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F881" s="38"/>
      <c r="AG881" s="38"/>
      <c r="AH881" s="38"/>
      <c r="AI881" s="38"/>
      <c r="AJ881" s="38"/>
      <c r="AK881" s="38"/>
      <c r="AL881" s="38"/>
      <c r="AM881" s="38"/>
      <c r="AN881" s="38"/>
      <c r="AO881" s="38"/>
      <c r="AP881" s="38"/>
    </row>
    <row r="882" spans="1:42" ht="12.75">
      <c r="A882" s="38"/>
      <c r="B882" s="38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38"/>
      <c r="AF882" s="38"/>
      <c r="AG882" s="38"/>
      <c r="AH882" s="38"/>
      <c r="AI882" s="38"/>
      <c r="AJ882" s="38"/>
      <c r="AK882" s="38"/>
      <c r="AL882" s="38"/>
      <c r="AM882" s="38"/>
      <c r="AN882" s="38"/>
      <c r="AO882" s="38"/>
      <c r="AP882" s="38"/>
    </row>
    <row r="883" spans="1:42" ht="12.75">
      <c r="A883" s="38"/>
      <c r="B883" s="38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  <c r="AE883" s="38"/>
      <c r="AF883" s="38"/>
      <c r="AG883" s="38"/>
      <c r="AH883" s="38"/>
      <c r="AI883" s="38"/>
      <c r="AJ883" s="38"/>
      <c r="AK883" s="38"/>
      <c r="AL883" s="38"/>
      <c r="AM883" s="38"/>
      <c r="AN883" s="38"/>
      <c r="AO883" s="38"/>
      <c r="AP883" s="38"/>
    </row>
    <row r="884" spans="1:42" ht="12.75">
      <c r="A884" s="38"/>
      <c r="B884" s="38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  <c r="AE884" s="38"/>
      <c r="AF884" s="38"/>
      <c r="AG884" s="38"/>
      <c r="AH884" s="38"/>
      <c r="AI884" s="38"/>
      <c r="AJ884" s="38"/>
      <c r="AK884" s="38"/>
      <c r="AL884" s="38"/>
      <c r="AM884" s="38"/>
      <c r="AN884" s="38"/>
      <c r="AO884" s="38"/>
      <c r="AP884" s="38"/>
    </row>
    <row r="885" spans="1:42" ht="12.75">
      <c r="A885" s="38"/>
      <c r="B885" s="38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  <c r="AE885" s="38"/>
      <c r="AF885" s="38"/>
      <c r="AG885" s="38"/>
      <c r="AH885" s="38"/>
      <c r="AI885" s="38"/>
      <c r="AJ885" s="38"/>
      <c r="AK885" s="38"/>
      <c r="AL885" s="38"/>
      <c r="AM885" s="38"/>
      <c r="AN885" s="38"/>
      <c r="AO885" s="38"/>
      <c r="AP885" s="38"/>
    </row>
    <row r="886" spans="1:42" ht="12.75">
      <c r="A886" s="38"/>
      <c r="B886" s="38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38"/>
      <c r="AF886" s="38"/>
      <c r="AG886" s="38"/>
      <c r="AH886" s="38"/>
      <c r="AI886" s="38"/>
      <c r="AJ886" s="38"/>
      <c r="AK886" s="38"/>
      <c r="AL886" s="38"/>
      <c r="AM886" s="38"/>
      <c r="AN886" s="38"/>
      <c r="AO886" s="38"/>
      <c r="AP886" s="38"/>
    </row>
    <row r="887" spans="1:42" ht="12.75">
      <c r="A887" s="38"/>
      <c r="B887" s="38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F887" s="38"/>
      <c r="AG887" s="38"/>
      <c r="AH887" s="38"/>
      <c r="AI887" s="38"/>
      <c r="AJ887" s="38"/>
      <c r="AK887" s="38"/>
      <c r="AL887" s="38"/>
      <c r="AM887" s="38"/>
      <c r="AN887" s="38"/>
      <c r="AO887" s="38"/>
      <c r="AP887" s="38"/>
    </row>
    <row r="888" spans="1:42" ht="12.75">
      <c r="A888" s="38"/>
      <c r="B888" s="38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F888" s="38"/>
      <c r="AG888" s="38"/>
      <c r="AH888" s="38"/>
      <c r="AI888" s="38"/>
      <c r="AJ888" s="38"/>
      <c r="AK888" s="38"/>
      <c r="AL888" s="38"/>
      <c r="AM888" s="38"/>
      <c r="AN888" s="38"/>
      <c r="AO888" s="38"/>
      <c r="AP888" s="38"/>
    </row>
    <row r="889" spans="1:42" ht="12.75">
      <c r="A889" s="38"/>
      <c r="B889" s="38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  <c r="AE889" s="38"/>
      <c r="AF889" s="38"/>
      <c r="AG889" s="38"/>
      <c r="AH889" s="38"/>
      <c r="AI889" s="38"/>
      <c r="AJ889" s="38"/>
      <c r="AK889" s="38"/>
      <c r="AL889" s="38"/>
      <c r="AM889" s="38"/>
      <c r="AN889" s="38"/>
      <c r="AO889" s="38"/>
      <c r="AP889" s="38"/>
    </row>
    <row r="890" spans="1:42" ht="12.75">
      <c r="A890" s="38"/>
      <c r="B890" s="38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38"/>
      <c r="AF890" s="38"/>
      <c r="AG890" s="38"/>
      <c r="AH890" s="38"/>
      <c r="AI890" s="38"/>
      <c r="AJ890" s="38"/>
      <c r="AK890" s="38"/>
      <c r="AL890" s="38"/>
      <c r="AM890" s="38"/>
      <c r="AN890" s="38"/>
      <c r="AO890" s="38"/>
      <c r="AP890" s="38"/>
    </row>
    <row r="891" spans="1:42" ht="12.75">
      <c r="A891" s="38"/>
      <c r="B891" s="38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  <c r="AE891" s="38"/>
      <c r="AF891" s="38"/>
      <c r="AG891" s="38"/>
      <c r="AH891" s="38"/>
      <c r="AI891" s="38"/>
      <c r="AJ891" s="38"/>
      <c r="AK891" s="38"/>
      <c r="AL891" s="38"/>
      <c r="AM891" s="38"/>
      <c r="AN891" s="38"/>
      <c r="AO891" s="38"/>
      <c r="AP891" s="38"/>
    </row>
    <row r="892" spans="1:42" ht="12.75">
      <c r="A892" s="38"/>
      <c r="B892" s="38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  <c r="AE892" s="38"/>
      <c r="AF892" s="38"/>
      <c r="AG892" s="38"/>
      <c r="AH892" s="38"/>
      <c r="AI892" s="38"/>
      <c r="AJ892" s="38"/>
      <c r="AK892" s="38"/>
      <c r="AL892" s="38"/>
      <c r="AM892" s="38"/>
      <c r="AN892" s="38"/>
      <c r="AO892" s="38"/>
      <c r="AP892" s="38"/>
    </row>
    <row r="893" spans="1:42" ht="12.75">
      <c r="A893" s="38"/>
      <c r="B893" s="38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  <c r="AE893" s="38"/>
      <c r="AF893" s="38"/>
      <c r="AG893" s="38"/>
      <c r="AH893" s="38"/>
      <c r="AI893" s="38"/>
      <c r="AJ893" s="38"/>
      <c r="AK893" s="38"/>
      <c r="AL893" s="38"/>
      <c r="AM893" s="38"/>
      <c r="AN893" s="38"/>
      <c r="AO893" s="38"/>
      <c r="AP893" s="38"/>
    </row>
    <row r="894" spans="1:42" ht="12.75">
      <c r="A894" s="38"/>
      <c r="B894" s="38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  <c r="AE894" s="38"/>
      <c r="AF894" s="38"/>
      <c r="AG894" s="38"/>
      <c r="AH894" s="38"/>
      <c r="AI894" s="38"/>
      <c r="AJ894" s="38"/>
      <c r="AK894" s="38"/>
      <c r="AL894" s="38"/>
      <c r="AM894" s="38"/>
      <c r="AN894" s="38"/>
      <c r="AO894" s="38"/>
      <c r="AP894" s="38"/>
    </row>
    <row r="895" spans="1:42" ht="12.75">
      <c r="A895" s="38"/>
      <c r="B895" s="38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  <c r="AE895" s="38"/>
      <c r="AF895" s="38"/>
      <c r="AG895" s="38"/>
      <c r="AH895" s="38"/>
      <c r="AI895" s="38"/>
      <c r="AJ895" s="38"/>
      <c r="AK895" s="38"/>
      <c r="AL895" s="38"/>
      <c r="AM895" s="38"/>
      <c r="AN895" s="38"/>
      <c r="AO895" s="38"/>
      <c r="AP895" s="38"/>
    </row>
    <row r="896" spans="1:42" ht="12.75">
      <c r="A896" s="38"/>
      <c r="B896" s="38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  <c r="AE896" s="38"/>
      <c r="AF896" s="38"/>
      <c r="AG896" s="38"/>
      <c r="AH896" s="38"/>
      <c r="AI896" s="38"/>
      <c r="AJ896" s="38"/>
      <c r="AK896" s="38"/>
      <c r="AL896" s="38"/>
      <c r="AM896" s="38"/>
      <c r="AN896" s="38"/>
      <c r="AO896" s="38"/>
      <c r="AP896" s="38"/>
    </row>
    <row r="897" spans="1:42" ht="12.75">
      <c r="A897" s="38"/>
      <c r="B897" s="38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  <c r="AE897" s="38"/>
      <c r="AF897" s="38"/>
      <c r="AG897" s="38"/>
      <c r="AH897" s="38"/>
      <c r="AI897" s="38"/>
      <c r="AJ897" s="38"/>
      <c r="AK897" s="38"/>
      <c r="AL897" s="38"/>
      <c r="AM897" s="38"/>
      <c r="AN897" s="38"/>
      <c r="AO897" s="38"/>
      <c r="AP897" s="38"/>
    </row>
    <row r="898" spans="1:42" ht="12.75">
      <c r="A898" s="38"/>
      <c r="B898" s="38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  <c r="AE898" s="38"/>
      <c r="AF898" s="38"/>
      <c r="AG898" s="38"/>
      <c r="AH898" s="38"/>
      <c r="AI898" s="38"/>
      <c r="AJ898" s="38"/>
      <c r="AK898" s="38"/>
      <c r="AL898" s="38"/>
      <c r="AM898" s="38"/>
      <c r="AN898" s="38"/>
      <c r="AO898" s="38"/>
      <c r="AP898" s="38"/>
    </row>
    <row r="899" spans="1:42" ht="12.75">
      <c r="A899" s="38"/>
      <c r="B899" s="38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  <c r="AE899" s="38"/>
      <c r="AF899" s="38"/>
      <c r="AG899" s="38"/>
      <c r="AH899" s="38"/>
      <c r="AI899" s="38"/>
      <c r="AJ899" s="38"/>
      <c r="AK899" s="38"/>
      <c r="AL899" s="38"/>
      <c r="AM899" s="38"/>
      <c r="AN899" s="38"/>
      <c r="AO899" s="38"/>
      <c r="AP899" s="38"/>
    </row>
    <row r="900" spans="1:42" ht="12.75">
      <c r="A900" s="38"/>
      <c r="B900" s="38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  <c r="AE900" s="38"/>
      <c r="AF900" s="38"/>
      <c r="AG900" s="38"/>
      <c r="AH900" s="38"/>
      <c r="AI900" s="38"/>
      <c r="AJ900" s="38"/>
      <c r="AK900" s="38"/>
      <c r="AL900" s="38"/>
      <c r="AM900" s="38"/>
      <c r="AN900" s="38"/>
      <c r="AO900" s="38"/>
      <c r="AP900" s="38"/>
    </row>
    <row r="901" spans="1:42" ht="12.75">
      <c r="A901" s="38"/>
      <c r="B901" s="38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  <c r="AA901" s="38"/>
      <c r="AB901" s="38"/>
      <c r="AC901" s="38"/>
      <c r="AD901" s="38"/>
      <c r="AE901" s="38"/>
      <c r="AF901" s="38"/>
      <c r="AG901" s="38"/>
      <c r="AH901" s="38"/>
      <c r="AI901" s="38"/>
      <c r="AJ901" s="38"/>
      <c r="AK901" s="38"/>
      <c r="AL901" s="38"/>
      <c r="AM901" s="38"/>
      <c r="AN901" s="38"/>
      <c r="AO901" s="38"/>
      <c r="AP901" s="38"/>
    </row>
    <row r="902" spans="1:42" ht="12.75">
      <c r="A902" s="38"/>
      <c r="B902" s="38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38"/>
      <c r="AF902" s="38"/>
      <c r="AG902" s="38"/>
      <c r="AH902" s="38"/>
      <c r="AI902" s="38"/>
      <c r="AJ902" s="38"/>
      <c r="AK902" s="38"/>
      <c r="AL902" s="38"/>
      <c r="AM902" s="38"/>
      <c r="AN902" s="38"/>
      <c r="AO902" s="38"/>
      <c r="AP902" s="38"/>
    </row>
    <row r="903" spans="1:42" ht="12.75">
      <c r="A903" s="38"/>
      <c r="B903" s="38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  <c r="AE903" s="38"/>
      <c r="AF903" s="38"/>
      <c r="AG903" s="38"/>
      <c r="AH903" s="38"/>
      <c r="AI903" s="38"/>
      <c r="AJ903" s="38"/>
      <c r="AK903" s="38"/>
      <c r="AL903" s="38"/>
      <c r="AM903" s="38"/>
      <c r="AN903" s="38"/>
      <c r="AO903" s="38"/>
      <c r="AP903" s="38"/>
    </row>
    <row r="904" spans="1:42" ht="12.75">
      <c r="A904" s="38"/>
      <c r="B904" s="38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  <c r="AE904" s="38"/>
      <c r="AF904" s="38"/>
      <c r="AG904" s="38"/>
      <c r="AH904" s="38"/>
      <c r="AI904" s="38"/>
      <c r="AJ904" s="38"/>
      <c r="AK904" s="38"/>
      <c r="AL904" s="38"/>
      <c r="AM904" s="38"/>
      <c r="AN904" s="38"/>
      <c r="AO904" s="38"/>
      <c r="AP904" s="38"/>
    </row>
    <row r="905" spans="1:42" ht="12.75">
      <c r="A905" s="38"/>
      <c r="B905" s="38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  <c r="AE905" s="38"/>
      <c r="AF905" s="38"/>
      <c r="AG905" s="38"/>
      <c r="AH905" s="38"/>
      <c r="AI905" s="38"/>
      <c r="AJ905" s="38"/>
      <c r="AK905" s="38"/>
      <c r="AL905" s="38"/>
      <c r="AM905" s="38"/>
      <c r="AN905" s="38"/>
      <c r="AO905" s="38"/>
      <c r="AP905" s="38"/>
    </row>
    <row r="906" spans="1:42" ht="12.75">
      <c r="A906" s="38"/>
      <c r="B906" s="38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  <c r="AE906" s="38"/>
      <c r="AF906" s="38"/>
      <c r="AG906" s="38"/>
      <c r="AH906" s="38"/>
      <c r="AI906" s="38"/>
      <c r="AJ906" s="38"/>
      <c r="AK906" s="38"/>
      <c r="AL906" s="38"/>
      <c r="AM906" s="38"/>
      <c r="AN906" s="38"/>
      <c r="AO906" s="38"/>
      <c r="AP906" s="38"/>
    </row>
    <row r="907" spans="1:42" ht="12.75">
      <c r="A907" s="38"/>
      <c r="B907" s="38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  <c r="AE907" s="38"/>
      <c r="AF907" s="38"/>
      <c r="AG907" s="38"/>
      <c r="AH907" s="38"/>
      <c r="AI907" s="38"/>
      <c r="AJ907" s="38"/>
      <c r="AK907" s="38"/>
      <c r="AL907" s="38"/>
      <c r="AM907" s="38"/>
      <c r="AN907" s="38"/>
      <c r="AO907" s="38"/>
      <c r="AP907" s="38"/>
    </row>
    <row r="908" spans="1:42" ht="12.75">
      <c r="A908" s="38"/>
      <c r="B908" s="38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  <c r="AA908" s="38"/>
      <c r="AB908" s="38"/>
      <c r="AC908" s="38"/>
      <c r="AD908" s="38"/>
      <c r="AE908" s="38"/>
      <c r="AF908" s="38"/>
      <c r="AG908" s="38"/>
      <c r="AH908" s="38"/>
      <c r="AI908" s="38"/>
      <c r="AJ908" s="38"/>
      <c r="AK908" s="38"/>
      <c r="AL908" s="38"/>
      <c r="AM908" s="38"/>
      <c r="AN908" s="38"/>
      <c r="AO908" s="38"/>
      <c r="AP908" s="38"/>
    </row>
    <row r="909" spans="1:42" ht="12.75">
      <c r="A909" s="38"/>
      <c r="B909" s="38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  <c r="AE909" s="38"/>
      <c r="AF909" s="38"/>
      <c r="AG909" s="38"/>
      <c r="AH909" s="38"/>
      <c r="AI909" s="38"/>
      <c r="AJ909" s="38"/>
      <c r="AK909" s="38"/>
      <c r="AL909" s="38"/>
      <c r="AM909" s="38"/>
      <c r="AN909" s="38"/>
      <c r="AO909" s="38"/>
      <c r="AP909" s="38"/>
    </row>
    <row r="910" spans="1:42" ht="12.75">
      <c r="A910" s="38"/>
      <c r="B910" s="38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  <c r="AE910" s="38"/>
      <c r="AF910" s="38"/>
      <c r="AG910" s="38"/>
      <c r="AH910" s="38"/>
      <c r="AI910" s="38"/>
      <c r="AJ910" s="38"/>
      <c r="AK910" s="38"/>
      <c r="AL910" s="38"/>
      <c r="AM910" s="38"/>
      <c r="AN910" s="38"/>
      <c r="AO910" s="38"/>
      <c r="AP910" s="38"/>
    </row>
    <row r="911" spans="1:42" ht="12.75">
      <c r="A911" s="38"/>
      <c r="B911" s="38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  <c r="AE911" s="38"/>
      <c r="AF911" s="38"/>
      <c r="AG911" s="38"/>
      <c r="AH911" s="38"/>
      <c r="AI911" s="38"/>
      <c r="AJ911" s="38"/>
      <c r="AK911" s="38"/>
      <c r="AL911" s="38"/>
      <c r="AM911" s="38"/>
      <c r="AN911" s="38"/>
      <c r="AO911" s="38"/>
      <c r="AP911" s="38"/>
    </row>
    <row r="912" spans="1:42" ht="12.75">
      <c r="A912" s="38"/>
      <c r="B912" s="38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  <c r="AE912" s="38"/>
      <c r="AF912" s="38"/>
      <c r="AG912" s="38"/>
      <c r="AH912" s="38"/>
      <c r="AI912" s="38"/>
      <c r="AJ912" s="38"/>
      <c r="AK912" s="38"/>
      <c r="AL912" s="38"/>
      <c r="AM912" s="38"/>
      <c r="AN912" s="38"/>
      <c r="AO912" s="38"/>
      <c r="AP912" s="38"/>
    </row>
    <row r="913" spans="1:42" ht="12.75">
      <c r="A913" s="38"/>
      <c r="B913" s="38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F913" s="38"/>
      <c r="AG913" s="38"/>
      <c r="AH913" s="38"/>
      <c r="AI913" s="38"/>
      <c r="AJ913" s="38"/>
      <c r="AK913" s="38"/>
      <c r="AL913" s="38"/>
      <c r="AM913" s="38"/>
      <c r="AN913" s="38"/>
      <c r="AO913" s="38"/>
      <c r="AP913" s="38"/>
    </row>
    <row r="914" spans="1:42" ht="12.75">
      <c r="A914" s="38"/>
      <c r="B914" s="38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  <c r="AE914" s="38"/>
      <c r="AF914" s="38"/>
      <c r="AG914" s="38"/>
      <c r="AH914" s="38"/>
      <c r="AI914" s="38"/>
      <c r="AJ914" s="38"/>
      <c r="AK914" s="38"/>
      <c r="AL914" s="38"/>
      <c r="AM914" s="38"/>
      <c r="AN914" s="38"/>
      <c r="AO914" s="38"/>
      <c r="AP914" s="38"/>
    </row>
    <row r="915" spans="1:42" ht="12.75">
      <c r="A915" s="38"/>
      <c r="B915" s="38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  <c r="AE915" s="38"/>
      <c r="AF915" s="38"/>
      <c r="AG915" s="38"/>
      <c r="AH915" s="38"/>
      <c r="AI915" s="38"/>
      <c r="AJ915" s="38"/>
      <c r="AK915" s="38"/>
      <c r="AL915" s="38"/>
      <c r="AM915" s="38"/>
      <c r="AN915" s="38"/>
      <c r="AO915" s="38"/>
      <c r="AP915" s="38"/>
    </row>
    <row r="916" spans="1:42" ht="12.75">
      <c r="A916" s="38"/>
      <c r="B916" s="38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  <c r="AE916" s="38"/>
      <c r="AF916" s="38"/>
      <c r="AG916" s="38"/>
      <c r="AH916" s="38"/>
      <c r="AI916" s="38"/>
      <c r="AJ916" s="38"/>
      <c r="AK916" s="38"/>
      <c r="AL916" s="38"/>
      <c r="AM916" s="38"/>
      <c r="AN916" s="38"/>
      <c r="AO916" s="38"/>
      <c r="AP916" s="38"/>
    </row>
    <row r="917" spans="1:42" ht="12.75">
      <c r="A917" s="38"/>
      <c r="B917" s="38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38"/>
      <c r="AF917" s="38"/>
      <c r="AG917" s="38"/>
      <c r="AH917" s="38"/>
      <c r="AI917" s="38"/>
      <c r="AJ917" s="38"/>
      <c r="AK917" s="38"/>
      <c r="AL917" s="38"/>
      <c r="AM917" s="38"/>
      <c r="AN917" s="38"/>
      <c r="AO917" s="38"/>
      <c r="AP917" s="38"/>
    </row>
    <row r="918" spans="1:42" ht="12.75">
      <c r="A918" s="38"/>
      <c r="B918" s="38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  <c r="AE918" s="38"/>
      <c r="AF918" s="38"/>
      <c r="AG918" s="38"/>
      <c r="AH918" s="38"/>
      <c r="AI918" s="38"/>
      <c r="AJ918" s="38"/>
      <c r="AK918" s="38"/>
      <c r="AL918" s="38"/>
      <c r="AM918" s="38"/>
      <c r="AN918" s="38"/>
      <c r="AO918" s="38"/>
      <c r="AP918" s="38"/>
    </row>
    <row r="919" spans="1:42" ht="12.75">
      <c r="A919" s="38"/>
      <c r="B919" s="38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  <c r="AE919" s="38"/>
      <c r="AF919" s="38"/>
      <c r="AG919" s="38"/>
      <c r="AH919" s="38"/>
      <c r="AI919" s="38"/>
      <c r="AJ919" s="38"/>
      <c r="AK919" s="38"/>
      <c r="AL919" s="38"/>
      <c r="AM919" s="38"/>
      <c r="AN919" s="38"/>
      <c r="AO919" s="38"/>
      <c r="AP919" s="38"/>
    </row>
    <row r="920" spans="1:42" ht="12.75">
      <c r="A920" s="38"/>
      <c r="B920" s="38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  <c r="AE920" s="38"/>
      <c r="AF920" s="38"/>
      <c r="AG920" s="38"/>
      <c r="AH920" s="38"/>
      <c r="AI920" s="38"/>
      <c r="AJ920" s="38"/>
      <c r="AK920" s="38"/>
      <c r="AL920" s="38"/>
      <c r="AM920" s="38"/>
      <c r="AN920" s="38"/>
      <c r="AO920" s="38"/>
      <c r="AP920" s="38"/>
    </row>
    <row r="921" spans="1:42" ht="12.75">
      <c r="A921" s="38"/>
      <c r="B921" s="38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  <c r="AE921" s="38"/>
      <c r="AF921" s="38"/>
      <c r="AG921" s="38"/>
      <c r="AH921" s="38"/>
      <c r="AI921" s="38"/>
      <c r="AJ921" s="38"/>
      <c r="AK921" s="38"/>
      <c r="AL921" s="38"/>
      <c r="AM921" s="38"/>
      <c r="AN921" s="38"/>
      <c r="AO921" s="38"/>
      <c r="AP921" s="38"/>
    </row>
    <row r="922" spans="1:42" ht="12.75">
      <c r="A922" s="38"/>
      <c r="B922" s="38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  <c r="AE922" s="38"/>
      <c r="AF922" s="38"/>
      <c r="AG922" s="38"/>
      <c r="AH922" s="38"/>
      <c r="AI922" s="38"/>
      <c r="AJ922" s="38"/>
      <c r="AK922" s="38"/>
      <c r="AL922" s="38"/>
      <c r="AM922" s="38"/>
      <c r="AN922" s="38"/>
      <c r="AO922" s="38"/>
      <c r="AP922" s="38"/>
    </row>
    <row r="923" spans="1:42" ht="12.75">
      <c r="A923" s="38"/>
      <c r="B923" s="38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  <c r="AE923" s="38"/>
      <c r="AF923" s="38"/>
      <c r="AG923" s="38"/>
      <c r="AH923" s="38"/>
      <c r="AI923" s="38"/>
      <c r="AJ923" s="38"/>
      <c r="AK923" s="38"/>
      <c r="AL923" s="38"/>
      <c r="AM923" s="38"/>
      <c r="AN923" s="38"/>
      <c r="AO923" s="38"/>
      <c r="AP923" s="38"/>
    </row>
    <row r="924" spans="1:42" ht="12.75">
      <c r="A924" s="38"/>
      <c r="B924" s="38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  <c r="AA924" s="38"/>
      <c r="AB924" s="38"/>
      <c r="AC924" s="38"/>
      <c r="AD924" s="38"/>
      <c r="AE924" s="38"/>
      <c r="AF924" s="38"/>
      <c r="AG924" s="38"/>
      <c r="AH924" s="38"/>
      <c r="AI924" s="38"/>
      <c r="AJ924" s="38"/>
      <c r="AK924" s="38"/>
      <c r="AL924" s="38"/>
      <c r="AM924" s="38"/>
      <c r="AN924" s="38"/>
      <c r="AO924" s="38"/>
      <c r="AP924" s="38"/>
    </row>
    <row r="925" spans="1:42" ht="12.75">
      <c r="A925" s="38"/>
      <c r="B925" s="38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  <c r="AE925" s="38"/>
      <c r="AF925" s="38"/>
      <c r="AG925" s="38"/>
      <c r="AH925" s="38"/>
      <c r="AI925" s="38"/>
      <c r="AJ925" s="38"/>
      <c r="AK925" s="38"/>
      <c r="AL925" s="38"/>
      <c r="AM925" s="38"/>
      <c r="AN925" s="38"/>
      <c r="AO925" s="38"/>
      <c r="AP925" s="38"/>
    </row>
    <row r="926" spans="1:42" ht="12.75">
      <c r="A926" s="38"/>
      <c r="B926" s="38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  <c r="AA926" s="38"/>
      <c r="AB926" s="38"/>
      <c r="AC926" s="38"/>
      <c r="AD926" s="38"/>
      <c r="AE926" s="38"/>
      <c r="AF926" s="38"/>
      <c r="AG926" s="38"/>
      <c r="AH926" s="38"/>
      <c r="AI926" s="38"/>
      <c r="AJ926" s="38"/>
      <c r="AK926" s="38"/>
      <c r="AL926" s="38"/>
      <c r="AM926" s="38"/>
      <c r="AN926" s="38"/>
      <c r="AO926" s="38"/>
      <c r="AP926" s="38"/>
    </row>
    <row r="927" spans="1:42" ht="12.75">
      <c r="A927" s="38"/>
      <c r="B927" s="38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  <c r="AE927" s="38"/>
      <c r="AF927" s="38"/>
      <c r="AG927" s="38"/>
      <c r="AH927" s="38"/>
      <c r="AI927" s="38"/>
      <c r="AJ927" s="38"/>
      <c r="AK927" s="38"/>
      <c r="AL927" s="38"/>
      <c r="AM927" s="38"/>
      <c r="AN927" s="38"/>
      <c r="AO927" s="38"/>
      <c r="AP927" s="38"/>
    </row>
    <row r="928" spans="1:42" ht="12.75">
      <c r="A928" s="38"/>
      <c r="B928" s="38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38"/>
      <c r="AF928" s="38"/>
      <c r="AG928" s="38"/>
      <c r="AH928" s="38"/>
      <c r="AI928" s="38"/>
      <c r="AJ928" s="38"/>
      <c r="AK928" s="38"/>
      <c r="AL928" s="38"/>
      <c r="AM928" s="38"/>
      <c r="AN928" s="38"/>
      <c r="AO928" s="38"/>
      <c r="AP928" s="38"/>
    </row>
    <row r="929" spans="1:42" ht="12.75">
      <c r="A929" s="38"/>
      <c r="B929" s="38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  <c r="AE929" s="38"/>
      <c r="AF929" s="38"/>
      <c r="AG929" s="38"/>
      <c r="AH929" s="38"/>
      <c r="AI929" s="38"/>
      <c r="AJ929" s="38"/>
      <c r="AK929" s="38"/>
      <c r="AL929" s="38"/>
      <c r="AM929" s="38"/>
      <c r="AN929" s="38"/>
      <c r="AO929" s="38"/>
      <c r="AP929" s="38"/>
    </row>
    <row r="930" spans="1:42" ht="12.75">
      <c r="A930" s="38"/>
      <c r="B930" s="38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  <c r="AE930" s="38"/>
      <c r="AF930" s="38"/>
      <c r="AG930" s="38"/>
      <c r="AH930" s="38"/>
      <c r="AI930" s="38"/>
      <c r="AJ930" s="38"/>
      <c r="AK930" s="38"/>
      <c r="AL930" s="38"/>
      <c r="AM930" s="38"/>
      <c r="AN930" s="38"/>
      <c r="AO930" s="38"/>
      <c r="AP930" s="38"/>
    </row>
    <row r="931" spans="1:42" ht="12.75">
      <c r="A931" s="38"/>
      <c r="B931" s="38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F931" s="38"/>
      <c r="AG931" s="38"/>
      <c r="AH931" s="38"/>
      <c r="AI931" s="38"/>
      <c r="AJ931" s="38"/>
      <c r="AK931" s="38"/>
      <c r="AL931" s="38"/>
      <c r="AM931" s="38"/>
      <c r="AN931" s="38"/>
      <c r="AO931" s="38"/>
      <c r="AP931" s="38"/>
    </row>
    <row r="932" spans="1:42" ht="12.75">
      <c r="A932" s="38"/>
      <c r="B932" s="38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  <c r="AE932" s="38"/>
      <c r="AF932" s="38"/>
      <c r="AG932" s="38"/>
      <c r="AH932" s="38"/>
      <c r="AI932" s="38"/>
      <c r="AJ932" s="38"/>
      <c r="AK932" s="38"/>
      <c r="AL932" s="38"/>
      <c r="AM932" s="38"/>
      <c r="AN932" s="38"/>
      <c r="AO932" s="38"/>
      <c r="AP932" s="38"/>
    </row>
    <row r="933" spans="1:42" ht="12.75">
      <c r="A933" s="38"/>
      <c r="B933" s="38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  <c r="AA933" s="38"/>
      <c r="AB933" s="38"/>
      <c r="AC933" s="38"/>
      <c r="AD933" s="38"/>
      <c r="AE933" s="38"/>
      <c r="AF933" s="38"/>
      <c r="AG933" s="38"/>
      <c r="AH933" s="38"/>
      <c r="AI933" s="38"/>
      <c r="AJ933" s="38"/>
      <c r="AK933" s="38"/>
      <c r="AL933" s="38"/>
      <c r="AM933" s="38"/>
      <c r="AN933" s="38"/>
      <c r="AO933" s="38"/>
      <c r="AP933" s="38"/>
    </row>
    <row r="934" spans="1:42" ht="12.75">
      <c r="A934" s="38"/>
      <c r="B934" s="38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  <c r="AE934" s="38"/>
      <c r="AF934" s="38"/>
      <c r="AG934" s="38"/>
      <c r="AH934" s="38"/>
      <c r="AI934" s="38"/>
      <c r="AJ934" s="38"/>
      <c r="AK934" s="38"/>
      <c r="AL934" s="38"/>
      <c r="AM934" s="38"/>
      <c r="AN934" s="38"/>
      <c r="AO934" s="38"/>
      <c r="AP934" s="38"/>
    </row>
    <row r="935" spans="1:42" ht="12.75">
      <c r="A935" s="38"/>
      <c r="B935" s="38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  <c r="AE935" s="38"/>
      <c r="AF935" s="38"/>
      <c r="AG935" s="38"/>
      <c r="AH935" s="38"/>
      <c r="AI935" s="38"/>
      <c r="AJ935" s="38"/>
      <c r="AK935" s="38"/>
      <c r="AL935" s="38"/>
      <c r="AM935" s="38"/>
      <c r="AN935" s="38"/>
      <c r="AO935" s="38"/>
      <c r="AP935" s="38"/>
    </row>
    <row r="936" spans="1:42" ht="12.75">
      <c r="A936" s="38"/>
      <c r="B936" s="38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38"/>
      <c r="AF936" s="38"/>
      <c r="AG936" s="38"/>
      <c r="AH936" s="38"/>
      <c r="AI936" s="38"/>
      <c r="AJ936" s="38"/>
      <c r="AK936" s="38"/>
      <c r="AL936" s="38"/>
      <c r="AM936" s="38"/>
      <c r="AN936" s="38"/>
      <c r="AO936" s="38"/>
      <c r="AP936" s="38"/>
    </row>
    <row r="937" spans="1:42" ht="12.75">
      <c r="A937" s="38"/>
      <c r="B937" s="38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38"/>
      <c r="AF937" s="38"/>
      <c r="AG937" s="38"/>
      <c r="AH937" s="38"/>
      <c r="AI937" s="38"/>
      <c r="AJ937" s="38"/>
      <c r="AK937" s="38"/>
      <c r="AL937" s="38"/>
      <c r="AM937" s="38"/>
      <c r="AN937" s="38"/>
      <c r="AO937" s="38"/>
      <c r="AP937" s="38"/>
    </row>
    <row r="938" spans="1:42" ht="12.75">
      <c r="A938" s="38"/>
      <c r="B938" s="38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  <c r="AE938" s="38"/>
      <c r="AF938" s="38"/>
      <c r="AG938" s="38"/>
      <c r="AH938" s="38"/>
      <c r="AI938" s="38"/>
      <c r="AJ938" s="38"/>
      <c r="AK938" s="38"/>
      <c r="AL938" s="38"/>
      <c r="AM938" s="38"/>
      <c r="AN938" s="38"/>
      <c r="AO938" s="38"/>
      <c r="AP938" s="38"/>
    </row>
    <row r="939" spans="1:42" ht="12.75">
      <c r="A939" s="38"/>
      <c r="B939" s="38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  <c r="AE939" s="38"/>
      <c r="AF939" s="38"/>
      <c r="AG939" s="38"/>
      <c r="AH939" s="38"/>
      <c r="AI939" s="38"/>
      <c r="AJ939" s="38"/>
      <c r="AK939" s="38"/>
      <c r="AL939" s="38"/>
      <c r="AM939" s="38"/>
      <c r="AN939" s="38"/>
      <c r="AO939" s="38"/>
      <c r="AP939" s="38"/>
    </row>
    <row r="940" spans="1:42" ht="12.75">
      <c r="A940" s="38"/>
      <c r="B940" s="38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  <c r="AA940" s="38"/>
      <c r="AB940" s="38"/>
      <c r="AC940" s="38"/>
      <c r="AD940" s="38"/>
      <c r="AE940" s="38"/>
      <c r="AF940" s="38"/>
      <c r="AG940" s="38"/>
      <c r="AH940" s="38"/>
      <c r="AI940" s="38"/>
      <c r="AJ940" s="38"/>
      <c r="AK940" s="38"/>
      <c r="AL940" s="38"/>
      <c r="AM940" s="38"/>
      <c r="AN940" s="38"/>
      <c r="AO940" s="38"/>
      <c r="AP940" s="38"/>
    </row>
    <row r="941" spans="1:42" ht="12.75">
      <c r="A941" s="38"/>
      <c r="B941" s="38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  <c r="AA941" s="38"/>
      <c r="AB941" s="38"/>
      <c r="AC941" s="38"/>
      <c r="AD941" s="38"/>
      <c r="AE941" s="38"/>
      <c r="AF941" s="38"/>
      <c r="AG941" s="38"/>
      <c r="AH941" s="38"/>
      <c r="AI941" s="38"/>
      <c r="AJ941" s="38"/>
      <c r="AK941" s="38"/>
      <c r="AL941" s="38"/>
      <c r="AM941" s="38"/>
      <c r="AN941" s="38"/>
      <c r="AO941" s="38"/>
      <c r="AP941" s="38"/>
    </row>
    <row r="942" spans="1:42" ht="12.75">
      <c r="A942" s="38"/>
      <c r="B942" s="38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  <c r="AE942" s="38"/>
      <c r="AF942" s="38"/>
      <c r="AG942" s="38"/>
      <c r="AH942" s="38"/>
      <c r="AI942" s="38"/>
      <c r="AJ942" s="38"/>
      <c r="AK942" s="38"/>
      <c r="AL942" s="38"/>
      <c r="AM942" s="38"/>
      <c r="AN942" s="38"/>
      <c r="AO942" s="38"/>
      <c r="AP942" s="38"/>
    </row>
    <row r="943" spans="1:42" ht="12.75">
      <c r="A943" s="38"/>
      <c r="B943" s="38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  <c r="AE943" s="38"/>
      <c r="AF943" s="38"/>
      <c r="AG943" s="38"/>
      <c r="AH943" s="38"/>
      <c r="AI943" s="38"/>
      <c r="AJ943" s="38"/>
      <c r="AK943" s="38"/>
      <c r="AL943" s="38"/>
      <c r="AM943" s="38"/>
      <c r="AN943" s="38"/>
      <c r="AO943" s="38"/>
      <c r="AP943" s="38"/>
    </row>
    <row r="944" spans="1:42" ht="12.75">
      <c r="A944" s="38"/>
      <c r="B944" s="38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  <c r="AE944" s="38"/>
      <c r="AF944" s="38"/>
      <c r="AG944" s="38"/>
      <c r="AH944" s="38"/>
      <c r="AI944" s="38"/>
      <c r="AJ944" s="38"/>
      <c r="AK944" s="38"/>
      <c r="AL944" s="38"/>
      <c r="AM944" s="38"/>
      <c r="AN944" s="38"/>
      <c r="AO944" s="38"/>
      <c r="AP944" s="38"/>
    </row>
    <row r="945" spans="1:42" ht="12.75">
      <c r="A945" s="38"/>
      <c r="B945" s="38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  <c r="AE945" s="38"/>
      <c r="AF945" s="38"/>
      <c r="AG945" s="38"/>
      <c r="AH945" s="38"/>
      <c r="AI945" s="38"/>
      <c r="AJ945" s="38"/>
      <c r="AK945" s="38"/>
      <c r="AL945" s="38"/>
      <c r="AM945" s="38"/>
      <c r="AN945" s="38"/>
      <c r="AO945" s="38"/>
      <c r="AP945" s="38"/>
    </row>
    <row r="946" spans="1:42" ht="12.75">
      <c r="A946" s="38"/>
      <c r="B946" s="38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  <c r="AE946" s="38"/>
      <c r="AF946" s="38"/>
      <c r="AG946" s="38"/>
      <c r="AH946" s="38"/>
      <c r="AI946" s="38"/>
      <c r="AJ946" s="38"/>
      <c r="AK946" s="38"/>
      <c r="AL946" s="38"/>
      <c r="AM946" s="38"/>
      <c r="AN946" s="38"/>
      <c r="AO946" s="38"/>
      <c r="AP946" s="38"/>
    </row>
    <row r="947" spans="1:42" ht="12.75">
      <c r="A947" s="38"/>
      <c r="B947" s="38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  <c r="AA947" s="38"/>
      <c r="AB947" s="38"/>
      <c r="AC947" s="38"/>
      <c r="AD947" s="38"/>
      <c r="AE947" s="38"/>
      <c r="AF947" s="38"/>
      <c r="AG947" s="38"/>
      <c r="AH947" s="38"/>
      <c r="AI947" s="38"/>
      <c r="AJ947" s="38"/>
      <c r="AK947" s="38"/>
      <c r="AL947" s="38"/>
      <c r="AM947" s="38"/>
      <c r="AN947" s="38"/>
      <c r="AO947" s="38"/>
      <c r="AP947" s="38"/>
    </row>
    <row r="948" spans="1:42" ht="12.75">
      <c r="A948" s="38"/>
      <c r="B948" s="38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  <c r="AA948" s="38"/>
      <c r="AB948" s="38"/>
      <c r="AC948" s="38"/>
      <c r="AD948" s="38"/>
      <c r="AE948" s="38"/>
      <c r="AF948" s="38"/>
      <c r="AG948" s="38"/>
      <c r="AH948" s="38"/>
      <c r="AI948" s="38"/>
      <c r="AJ948" s="38"/>
      <c r="AK948" s="38"/>
      <c r="AL948" s="38"/>
      <c r="AM948" s="38"/>
      <c r="AN948" s="38"/>
      <c r="AO948" s="38"/>
      <c r="AP948" s="38"/>
    </row>
    <row r="949" spans="1:42" ht="12.75">
      <c r="A949" s="38"/>
      <c r="B949" s="38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  <c r="AA949" s="38"/>
      <c r="AB949" s="38"/>
      <c r="AC949" s="38"/>
      <c r="AD949" s="38"/>
      <c r="AE949" s="38"/>
      <c r="AF949" s="38"/>
      <c r="AG949" s="38"/>
      <c r="AH949" s="38"/>
      <c r="AI949" s="38"/>
      <c r="AJ949" s="38"/>
      <c r="AK949" s="38"/>
      <c r="AL949" s="38"/>
      <c r="AM949" s="38"/>
      <c r="AN949" s="38"/>
      <c r="AO949" s="38"/>
      <c r="AP949" s="38"/>
    </row>
    <row r="950" spans="1:42" ht="12.75">
      <c r="A950" s="38"/>
      <c r="B950" s="38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  <c r="AE950" s="38"/>
      <c r="AF950" s="38"/>
      <c r="AG950" s="38"/>
      <c r="AH950" s="38"/>
      <c r="AI950" s="38"/>
      <c r="AJ950" s="38"/>
      <c r="AK950" s="38"/>
      <c r="AL950" s="38"/>
      <c r="AM950" s="38"/>
      <c r="AN950" s="38"/>
      <c r="AO950" s="38"/>
      <c r="AP950" s="38"/>
    </row>
    <row r="951" spans="1:42" ht="12.75">
      <c r="A951" s="38"/>
      <c r="B951" s="38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  <c r="AA951" s="38"/>
      <c r="AB951" s="38"/>
      <c r="AC951" s="38"/>
      <c r="AD951" s="38"/>
      <c r="AE951" s="38"/>
      <c r="AF951" s="38"/>
      <c r="AG951" s="38"/>
      <c r="AH951" s="38"/>
      <c r="AI951" s="38"/>
      <c r="AJ951" s="38"/>
      <c r="AK951" s="38"/>
      <c r="AL951" s="38"/>
      <c r="AM951" s="38"/>
      <c r="AN951" s="38"/>
      <c r="AO951" s="38"/>
      <c r="AP951" s="38"/>
    </row>
    <row r="952" spans="1:42" ht="12.75">
      <c r="A952" s="38"/>
      <c r="B952" s="38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  <c r="AE952" s="38"/>
      <c r="AF952" s="38"/>
      <c r="AG952" s="38"/>
      <c r="AH952" s="38"/>
      <c r="AI952" s="38"/>
      <c r="AJ952" s="38"/>
      <c r="AK952" s="38"/>
      <c r="AL952" s="38"/>
      <c r="AM952" s="38"/>
      <c r="AN952" s="38"/>
      <c r="AO952" s="38"/>
      <c r="AP952" s="38"/>
    </row>
    <row r="953" spans="1:42" ht="12.75">
      <c r="A953" s="38"/>
      <c r="B953" s="38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  <c r="AE953" s="38"/>
      <c r="AF953" s="38"/>
      <c r="AG953" s="38"/>
      <c r="AH953" s="38"/>
      <c r="AI953" s="38"/>
      <c r="AJ953" s="38"/>
      <c r="AK953" s="38"/>
      <c r="AL953" s="38"/>
      <c r="AM953" s="38"/>
      <c r="AN953" s="38"/>
      <c r="AO953" s="38"/>
      <c r="AP953" s="38"/>
    </row>
    <row r="954" spans="1:42" ht="12.75">
      <c r="A954" s="38"/>
      <c r="B954" s="38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  <c r="AE954" s="38"/>
      <c r="AF954" s="38"/>
      <c r="AG954" s="38"/>
      <c r="AH954" s="38"/>
      <c r="AI954" s="38"/>
      <c r="AJ954" s="38"/>
      <c r="AK954" s="38"/>
      <c r="AL954" s="38"/>
      <c r="AM954" s="38"/>
      <c r="AN954" s="38"/>
      <c r="AO954" s="38"/>
      <c r="AP954" s="38"/>
    </row>
    <row r="955" spans="1:42" ht="12.75">
      <c r="A955" s="38"/>
      <c r="B955" s="38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  <c r="AE955" s="38"/>
      <c r="AF955" s="38"/>
      <c r="AG955" s="38"/>
      <c r="AH955" s="38"/>
      <c r="AI955" s="38"/>
      <c r="AJ955" s="38"/>
      <c r="AK955" s="38"/>
      <c r="AL955" s="38"/>
      <c r="AM955" s="38"/>
      <c r="AN955" s="38"/>
      <c r="AO955" s="38"/>
      <c r="AP955" s="38"/>
    </row>
    <row r="956" spans="1:42" ht="12.75">
      <c r="A956" s="38"/>
      <c r="B956" s="38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  <c r="AE956" s="38"/>
      <c r="AF956" s="38"/>
      <c r="AG956" s="38"/>
      <c r="AH956" s="38"/>
      <c r="AI956" s="38"/>
      <c r="AJ956" s="38"/>
      <c r="AK956" s="38"/>
      <c r="AL956" s="38"/>
      <c r="AM956" s="38"/>
      <c r="AN956" s="38"/>
      <c r="AO956" s="38"/>
      <c r="AP956" s="38"/>
    </row>
    <row r="957" spans="1:42" ht="12.75">
      <c r="A957" s="38"/>
      <c r="B957" s="38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  <c r="AE957" s="38"/>
      <c r="AF957" s="38"/>
      <c r="AG957" s="38"/>
      <c r="AH957" s="38"/>
      <c r="AI957" s="38"/>
      <c r="AJ957" s="38"/>
      <c r="AK957" s="38"/>
      <c r="AL957" s="38"/>
      <c r="AM957" s="38"/>
      <c r="AN957" s="38"/>
      <c r="AO957" s="38"/>
      <c r="AP957" s="38"/>
    </row>
    <row r="958" spans="1:42" ht="12.75">
      <c r="A958" s="38"/>
      <c r="B958" s="38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  <c r="AE958" s="38"/>
      <c r="AF958" s="38"/>
      <c r="AG958" s="38"/>
      <c r="AH958" s="38"/>
      <c r="AI958" s="38"/>
      <c r="AJ958" s="38"/>
      <c r="AK958" s="38"/>
      <c r="AL958" s="38"/>
      <c r="AM958" s="38"/>
      <c r="AN958" s="38"/>
      <c r="AO958" s="38"/>
      <c r="AP958" s="38"/>
    </row>
    <row r="959" spans="1:42" ht="12.75">
      <c r="A959" s="38"/>
      <c r="B959" s="38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  <c r="AE959" s="38"/>
      <c r="AF959" s="38"/>
      <c r="AG959" s="38"/>
      <c r="AH959" s="38"/>
      <c r="AI959" s="38"/>
      <c r="AJ959" s="38"/>
      <c r="AK959" s="38"/>
      <c r="AL959" s="38"/>
      <c r="AM959" s="38"/>
      <c r="AN959" s="38"/>
      <c r="AO959" s="38"/>
      <c r="AP959" s="38"/>
    </row>
    <row r="960" spans="1:42" ht="12.75">
      <c r="A960" s="38"/>
      <c r="B960" s="38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  <c r="AE960" s="38"/>
      <c r="AF960" s="38"/>
      <c r="AG960" s="38"/>
      <c r="AH960" s="38"/>
      <c r="AI960" s="38"/>
      <c r="AJ960" s="38"/>
      <c r="AK960" s="38"/>
      <c r="AL960" s="38"/>
      <c r="AM960" s="38"/>
      <c r="AN960" s="38"/>
      <c r="AO960" s="38"/>
      <c r="AP960" s="38"/>
    </row>
    <row r="961" spans="1:42" ht="12.75">
      <c r="A961" s="38"/>
      <c r="B961" s="38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  <c r="AE961" s="38"/>
      <c r="AF961" s="38"/>
      <c r="AG961" s="38"/>
      <c r="AH961" s="38"/>
      <c r="AI961" s="38"/>
      <c r="AJ961" s="38"/>
      <c r="AK961" s="38"/>
      <c r="AL961" s="38"/>
      <c r="AM961" s="38"/>
      <c r="AN961" s="38"/>
      <c r="AO961" s="38"/>
      <c r="AP961" s="38"/>
    </row>
    <row r="962" spans="1:42" ht="12.75">
      <c r="A962" s="38"/>
      <c r="B962" s="38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  <c r="AE962" s="38"/>
      <c r="AF962" s="38"/>
      <c r="AG962" s="38"/>
      <c r="AH962" s="38"/>
      <c r="AI962" s="38"/>
      <c r="AJ962" s="38"/>
      <c r="AK962" s="38"/>
      <c r="AL962" s="38"/>
      <c r="AM962" s="38"/>
      <c r="AN962" s="38"/>
      <c r="AO962" s="38"/>
      <c r="AP962" s="38"/>
    </row>
    <row r="963" spans="1:42" ht="12.75">
      <c r="A963" s="38"/>
      <c r="B963" s="38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F963" s="38"/>
      <c r="AG963" s="38"/>
      <c r="AH963" s="38"/>
      <c r="AI963" s="38"/>
      <c r="AJ963" s="38"/>
      <c r="AK963" s="38"/>
      <c r="AL963" s="38"/>
      <c r="AM963" s="38"/>
      <c r="AN963" s="38"/>
      <c r="AO963" s="38"/>
      <c r="AP963" s="38"/>
    </row>
    <row r="964" spans="1:42" ht="12.75">
      <c r="A964" s="38"/>
      <c r="B964" s="38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  <c r="AE964" s="38"/>
      <c r="AF964" s="38"/>
      <c r="AG964" s="38"/>
      <c r="AH964" s="38"/>
      <c r="AI964" s="38"/>
      <c r="AJ964" s="38"/>
      <c r="AK964" s="38"/>
      <c r="AL964" s="38"/>
      <c r="AM964" s="38"/>
      <c r="AN964" s="38"/>
      <c r="AO964" s="38"/>
      <c r="AP964" s="38"/>
    </row>
    <row r="965" spans="1:42" ht="12.75">
      <c r="A965" s="38"/>
      <c r="B965" s="38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38"/>
      <c r="AF965" s="38"/>
      <c r="AG965" s="38"/>
      <c r="AH965" s="38"/>
      <c r="AI965" s="38"/>
      <c r="AJ965" s="38"/>
      <c r="AK965" s="38"/>
      <c r="AL965" s="38"/>
      <c r="AM965" s="38"/>
      <c r="AN965" s="38"/>
      <c r="AO965" s="38"/>
      <c r="AP965" s="38"/>
    </row>
    <row r="966" spans="1:42" ht="12.75">
      <c r="A966" s="38"/>
      <c r="B966" s="38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F966" s="38"/>
      <c r="AG966" s="38"/>
      <c r="AH966" s="38"/>
      <c r="AI966" s="38"/>
      <c r="AJ966" s="38"/>
      <c r="AK966" s="38"/>
      <c r="AL966" s="38"/>
      <c r="AM966" s="38"/>
      <c r="AN966" s="38"/>
      <c r="AO966" s="38"/>
      <c r="AP966" s="38"/>
    </row>
    <row r="967" spans="1:42" ht="12.75">
      <c r="A967" s="38"/>
      <c r="B967" s="38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  <c r="AE967" s="38"/>
      <c r="AF967" s="38"/>
      <c r="AG967" s="38"/>
      <c r="AH967" s="38"/>
      <c r="AI967" s="38"/>
      <c r="AJ967" s="38"/>
      <c r="AK967" s="38"/>
      <c r="AL967" s="38"/>
      <c r="AM967" s="38"/>
      <c r="AN967" s="38"/>
      <c r="AO967" s="38"/>
      <c r="AP967" s="38"/>
    </row>
    <row r="968" spans="1:42" ht="12.75">
      <c r="A968" s="38"/>
      <c r="B968" s="38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  <c r="AA968" s="38"/>
      <c r="AB968" s="38"/>
      <c r="AC968" s="38"/>
      <c r="AD968" s="38"/>
      <c r="AE968" s="38"/>
      <c r="AF968" s="38"/>
      <c r="AG968" s="38"/>
      <c r="AH968" s="38"/>
      <c r="AI968" s="38"/>
      <c r="AJ968" s="38"/>
      <c r="AK968" s="38"/>
      <c r="AL968" s="38"/>
      <c r="AM968" s="38"/>
      <c r="AN968" s="38"/>
      <c r="AO968" s="38"/>
      <c r="AP968" s="38"/>
    </row>
    <row r="969" spans="1:42" ht="12.75">
      <c r="A969" s="38"/>
      <c r="B969" s="38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38"/>
      <c r="AF969" s="38"/>
      <c r="AG969" s="38"/>
      <c r="AH969" s="38"/>
      <c r="AI969" s="38"/>
      <c r="AJ969" s="38"/>
      <c r="AK969" s="38"/>
      <c r="AL969" s="38"/>
      <c r="AM969" s="38"/>
      <c r="AN969" s="38"/>
      <c r="AO969" s="38"/>
      <c r="AP969" s="38"/>
    </row>
    <row r="970" spans="1:42" ht="12.75">
      <c r="A970" s="38"/>
      <c r="B970" s="38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  <c r="AE970" s="38"/>
      <c r="AF970" s="38"/>
      <c r="AG970" s="38"/>
      <c r="AH970" s="38"/>
      <c r="AI970" s="38"/>
      <c r="AJ970" s="38"/>
      <c r="AK970" s="38"/>
      <c r="AL970" s="38"/>
      <c r="AM970" s="38"/>
      <c r="AN970" s="38"/>
      <c r="AO970" s="38"/>
      <c r="AP970" s="38"/>
    </row>
    <row r="971" spans="1:42" ht="12.75">
      <c r="A971" s="38"/>
      <c r="B971" s="38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F971" s="38"/>
      <c r="AG971" s="38"/>
      <c r="AH971" s="38"/>
      <c r="AI971" s="38"/>
      <c r="AJ971" s="38"/>
      <c r="AK971" s="38"/>
      <c r="AL971" s="38"/>
      <c r="AM971" s="38"/>
      <c r="AN971" s="38"/>
      <c r="AO971" s="38"/>
      <c r="AP971" s="38"/>
    </row>
    <row r="972" spans="1:42" ht="12.75">
      <c r="A972" s="38"/>
      <c r="B972" s="38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  <c r="AA972" s="38"/>
      <c r="AB972" s="38"/>
      <c r="AC972" s="38"/>
      <c r="AD972" s="38"/>
      <c r="AE972" s="38"/>
      <c r="AF972" s="38"/>
      <c r="AG972" s="38"/>
      <c r="AH972" s="38"/>
      <c r="AI972" s="38"/>
      <c r="AJ972" s="38"/>
      <c r="AK972" s="38"/>
      <c r="AL972" s="38"/>
      <c r="AM972" s="38"/>
      <c r="AN972" s="38"/>
      <c r="AO972" s="38"/>
      <c r="AP972" s="38"/>
    </row>
    <row r="973" spans="1:42" ht="12.75">
      <c r="A973" s="38"/>
      <c r="B973" s="38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  <c r="AE973" s="38"/>
      <c r="AF973" s="38"/>
      <c r="AG973" s="38"/>
      <c r="AH973" s="38"/>
      <c r="AI973" s="38"/>
      <c r="AJ973" s="38"/>
      <c r="AK973" s="38"/>
      <c r="AL973" s="38"/>
      <c r="AM973" s="38"/>
      <c r="AN973" s="38"/>
      <c r="AO973" s="38"/>
      <c r="AP973" s="38"/>
    </row>
    <row r="974" spans="1:42" ht="12.75">
      <c r="A974" s="38"/>
      <c r="B974" s="38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  <c r="AE974" s="38"/>
      <c r="AF974" s="38"/>
      <c r="AG974" s="38"/>
      <c r="AH974" s="38"/>
      <c r="AI974" s="38"/>
      <c r="AJ974" s="38"/>
      <c r="AK974" s="38"/>
      <c r="AL974" s="38"/>
      <c r="AM974" s="38"/>
      <c r="AN974" s="38"/>
      <c r="AO974" s="38"/>
      <c r="AP974" s="38"/>
    </row>
    <row r="975" spans="1:42" ht="12.75">
      <c r="A975" s="38"/>
      <c r="B975" s="38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  <c r="AE975" s="38"/>
      <c r="AF975" s="38"/>
      <c r="AG975" s="38"/>
      <c r="AH975" s="38"/>
      <c r="AI975" s="38"/>
      <c r="AJ975" s="38"/>
      <c r="AK975" s="38"/>
      <c r="AL975" s="38"/>
      <c r="AM975" s="38"/>
      <c r="AN975" s="38"/>
      <c r="AO975" s="38"/>
      <c r="AP975" s="38"/>
    </row>
    <row r="976" spans="1:42" ht="12.75">
      <c r="A976" s="38"/>
      <c r="B976" s="38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  <c r="AE976" s="38"/>
      <c r="AF976" s="38"/>
      <c r="AG976" s="38"/>
      <c r="AH976" s="38"/>
      <c r="AI976" s="38"/>
      <c r="AJ976" s="38"/>
      <c r="AK976" s="38"/>
      <c r="AL976" s="38"/>
      <c r="AM976" s="38"/>
      <c r="AN976" s="38"/>
      <c r="AO976" s="38"/>
      <c r="AP976" s="38"/>
    </row>
    <row r="977" spans="1:42" ht="12.75">
      <c r="A977" s="38"/>
      <c r="B977" s="38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38"/>
      <c r="AF977" s="38"/>
      <c r="AG977" s="38"/>
      <c r="AH977" s="38"/>
      <c r="AI977" s="38"/>
      <c r="AJ977" s="38"/>
      <c r="AK977" s="38"/>
      <c r="AL977" s="38"/>
      <c r="AM977" s="38"/>
      <c r="AN977" s="38"/>
      <c r="AO977" s="38"/>
      <c r="AP977" s="38"/>
    </row>
    <row r="978" spans="1:42" ht="12.75">
      <c r="A978" s="38"/>
      <c r="B978" s="38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  <c r="AE978" s="38"/>
      <c r="AF978" s="38"/>
      <c r="AG978" s="38"/>
      <c r="AH978" s="38"/>
      <c r="AI978" s="38"/>
      <c r="AJ978" s="38"/>
      <c r="AK978" s="38"/>
      <c r="AL978" s="38"/>
      <c r="AM978" s="38"/>
      <c r="AN978" s="38"/>
      <c r="AO978" s="38"/>
      <c r="AP978" s="38"/>
    </row>
    <row r="979" spans="1:42" ht="12.75">
      <c r="A979" s="38"/>
      <c r="B979" s="38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  <c r="AA979" s="38"/>
      <c r="AB979" s="38"/>
      <c r="AC979" s="38"/>
      <c r="AD979" s="38"/>
      <c r="AE979" s="38"/>
      <c r="AF979" s="38"/>
      <c r="AG979" s="38"/>
      <c r="AH979" s="38"/>
      <c r="AI979" s="38"/>
      <c r="AJ979" s="38"/>
      <c r="AK979" s="38"/>
      <c r="AL979" s="38"/>
      <c r="AM979" s="38"/>
      <c r="AN979" s="38"/>
      <c r="AO979" s="38"/>
      <c r="AP979" s="38"/>
    </row>
    <row r="980" spans="1:42" ht="12.75">
      <c r="A980" s="38"/>
      <c r="B980" s="38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  <c r="AE980" s="38"/>
      <c r="AF980" s="38"/>
      <c r="AG980" s="38"/>
      <c r="AH980" s="38"/>
      <c r="AI980" s="38"/>
      <c r="AJ980" s="38"/>
      <c r="AK980" s="38"/>
      <c r="AL980" s="38"/>
      <c r="AM980" s="38"/>
      <c r="AN980" s="38"/>
      <c r="AO980" s="38"/>
      <c r="AP980" s="38"/>
    </row>
    <row r="981" spans="1:42" ht="12.75">
      <c r="A981" s="38"/>
      <c r="B981" s="38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  <c r="AE981" s="38"/>
      <c r="AF981" s="38"/>
      <c r="AG981" s="38"/>
      <c r="AH981" s="38"/>
      <c r="AI981" s="38"/>
      <c r="AJ981" s="38"/>
      <c r="AK981" s="38"/>
      <c r="AL981" s="38"/>
      <c r="AM981" s="38"/>
      <c r="AN981" s="38"/>
      <c r="AO981" s="38"/>
      <c r="AP981" s="38"/>
    </row>
    <row r="982" spans="1:42" ht="12.75">
      <c r="A982" s="38"/>
      <c r="B982" s="38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  <c r="AE982" s="38"/>
      <c r="AF982" s="38"/>
      <c r="AG982" s="38"/>
      <c r="AH982" s="38"/>
      <c r="AI982" s="38"/>
      <c r="AJ982" s="38"/>
      <c r="AK982" s="38"/>
      <c r="AL982" s="38"/>
      <c r="AM982" s="38"/>
      <c r="AN982" s="38"/>
      <c r="AO982" s="38"/>
      <c r="AP982" s="38"/>
    </row>
    <row r="983" spans="1:42" ht="12.75">
      <c r="A983" s="38"/>
      <c r="B983" s="38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  <c r="AE983" s="38"/>
      <c r="AF983" s="38"/>
      <c r="AG983" s="38"/>
      <c r="AH983" s="38"/>
      <c r="AI983" s="38"/>
      <c r="AJ983" s="38"/>
      <c r="AK983" s="38"/>
      <c r="AL983" s="38"/>
      <c r="AM983" s="38"/>
      <c r="AN983" s="38"/>
      <c r="AO983" s="38"/>
      <c r="AP983" s="38"/>
    </row>
    <row r="984" spans="1:42" ht="12.75">
      <c r="A984" s="38"/>
      <c r="B984" s="38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  <c r="AE984" s="38"/>
      <c r="AF984" s="38"/>
      <c r="AG984" s="38"/>
      <c r="AH984" s="38"/>
      <c r="AI984" s="38"/>
      <c r="AJ984" s="38"/>
      <c r="AK984" s="38"/>
      <c r="AL984" s="38"/>
      <c r="AM984" s="38"/>
      <c r="AN984" s="38"/>
      <c r="AO984" s="38"/>
      <c r="AP984" s="38"/>
    </row>
    <row r="985" spans="1:42" ht="12.75">
      <c r="A985" s="38"/>
      <c r="B985" s="38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  <c r="AE985" s="38"/>
      <c r="AF985" s="38"/>
      <c r="AG985" s="38"/>
      <c r="AH985" s="38"/>
      <c r="AI985" s="38"/>
      <c r="AJ985" s="38"/>
      <c r="AK985" s="38"/>
      <c r="AL985" s="38"/>
      <c r="AM985" s="38"/>
      <c r="AN985" s="38"/>
      <c r="AO985" s="38"/>
      <c r="AP985" s="38"/>
    </row>
    <row r="986" spans="1:42" ht="12.75">
      <c r="A986" s="38"/>
      <c r="B986" s="38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F986" s="38"/>
      <c r="AG986" s="38"/>
      <c r="AH986" s="38"/>
      <c r="AI986" s="38"/>
      <c r="AJ986" s="38"/>
      <c r="AK986" s="38"/>
      <c r="AL986" s="38"/>
      <c r="AM986" s="38"/>
      <c r="AN986" s="38"/>
      <c r="AO986" s="38"/>
      <c r="AP986" s="38"/>
    </row>
    <row r="987" spans="1:42" ht="12.75">
      <c r="A987" s="38"/>
      <c r="B987" s="38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  <c r="AE987" s="38"/>
      <c r="AF987" s="38"/>
      <c r="AG987" s="38"/>
      <c r="AH987" s="38"/>
      <c r="AI987" s="38"/>
      <c r="AJ987" s="38"/>
      <c r="AK987" s="38"/>
      <c r="AL987" s="38"/>
      <c r="AM987" s="38"/>
      <c r="AN987" s="38"/>
      <c r="AO987" s="38"/>
      <c r="AP987" s="38"/>
    </row>
    <row r="988" spans="1:42" ht="12.75">
      <c r="A988" s="38"/>
      <c r="B988" s="38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  <c r="AE988" s="38"/>
      <c r="AF988" s="38"/>
      <c r="AG988" s="38"/>
      <c r="AH988" s="38"/>
      <c r="AI988" s="38"/>
      <c r="AJ988" s="38"/>
      <c r="AK988" s="38"/>
      <c r="AL988" s="38"/>
      <c r="AM988" s="38"/>
      <c r="AN988" s="38"/>
      <c r="AO988" s="38"/>
      <c r="AP988" s="38"/>
    </row>
    <row r="989" spans="1:42" ht="12.75">
      <c r="A989" s="38"/>
      <c r="B989" s="38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  <c r="AE989" s="38"/>
      <c r="AF989" s="38"/>
      <c r="AG989" s="38"/>
      <c r="AH989" s="38"/>
      <c r="AI989" s="38"/>
      <c r="AJ989" s="38"/>
      <c r="AK989" s="38"/>
      <c r="AL989" s="38"/>
      <c r="AM989" s="38"/>
      <c r="AN989" s="38"/>
      <c r="AO989" s="38"/>
      <c r="AP989" s="38"/>
    </row>
    <row r="990" spans="1:42" ht="12.75">
      <c r="A990" s="38"/>
      <c r="B990" s="38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  <c r="AE990" s="38"/>
      <c r="AF990" s="38"/>
      <c r="AG990" s="38"/>
      <c r="AH990" s="38"/>
      <c r="AI990" s="38"/>
      <c r="AJ990" s="38"/>
      <c r="AK990" s="38"/>
      <c r="AL990" s="38"/>
      <c r="AM990" s="38"/>
      <c r="AN990" s="38"/>
      <c r="AO990" s="38"/>
      <c r="AP990" s="38"/>
    </row>
    <row r="991" spans="1:42" ht="12.75">
      <c r="A991" s="38"/>
      <c r="B991" s="38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  <c r="AE991" s="38"/>
      <c r="AF991" s="38"/>
      <c r="AG991" s="38"/>
      <c r="AH991" s="38"/>
      <c r="AI991" s="38"/>
      <c r="AJ991" s="38"/>
      <c r="AK991" s="38"/>
      <c r="AL991" s="38"/>
      <c r="AM991" s="38"/>
      <c r="AN991" s="38"/>
      <c r="AO991" s="38"/>
      <c r="AP991" s="38"/>
    </row>
    <row r="992" spans="1:42" ht="12.75">
      <c r="A992" s="38"/>
      <c r="B992" s="38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  <c r="AE992" s="38"/>
      <c r="AF992" s="38"/>
      <c r="AG992" s="38"/>
      <c r="AH992" s="38"/>
      <c r="AI992" s="38"/>
      <c r="AJ992" s="38"/>
      <c r="AK992" s="38"/>
      <c r="AL992" s="38"/>
      <c r="AM992" s="38"/>
      <c r="AN992" s="38"/>
      <c r="AO992" s="38"/>
      <c r="AP992" s="38"/>
    </row>
    <row r="993" spans="1:42" ht="12.75">
      <c r="A993" s="38"/>
      <c r="B993" s="38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  <c r="AE993" s="38"/>
      <c r="AF993" s="38"/>
      <c r="AG993" s="38"/>
      <c r="AH993" s="38"/>
      <c r="AI993" s="38"/>
      <c r="AJ993" s="38"/>
      <c r="AK993" s="38"/>
      <c r="AL993" s="38"/>
      <c r="AM993" s="38"/>
      <c r="AN993" s="38"/>
      <c r="AO993" s="38"/>
      <c r="AP993" s="38"/>
    </row>
    <row r="994" spans="1:42" ht="12.75">
      <c r="A994" s="38"/>
      <c r="B994" s="38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  <c r="AE994" s="38"/>
      <c r="AF994" s="38"/>
      <c r="AG994" s="38"/>
      <c r="AH994" s="38"/>
      <c r="AI994" s="38"/>
      <c r="AJ994" s="38"/>
      <c r="AK994" s="38"/>
      <c r="AL994" s="38"/>
      <c r="AM994" s="38"/>
      <c r="AN994" s="38"/>
      <c r="AO994" s="38"/>
      <c r="AP994" s="38"/>
    </row>
    <row r="995" spans="1:42" ht="12.75">
      <c r="A995" s="38"/>
      <c r="B995" s="38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  <c r="AF995" s="38"/>
      <c r="AG995" s="38"/>
      <c r="AH995" s="38"/>
      <c r="AI995" s="38"/>
      <c r="AJ995" s="38"/>
      <c r="AK995" s="38"/>
      <c r="AL995" s="38"/>
      <c r="AM995" s="38"/>
      <c r="AN995" s="38"/>
      <c r="AO995" s="38"/>
      <c r="AP995" s="38"/>
    </row>
    <row r="996" spans="1:42" ht="12.75">
      <c r="A996" s="38"/>
      <c r="B996" s="38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  <c r="AA996" s="38"/>
      <c r="AB996" s="38"/>
      <c r="AC996" s="38"/>
      <c r="AD996" s="38"/>
      <c r="AE996" s="38"/>
      <c r="AF996" s="38"/>
      <c r="AG996" s="38"/>
      <c r="AH996" s="38"/>
      <c r="AI996" s="38"/>
      <c r="AJ996" s="38"/>
      <c r="AK996" s="38"/>
      <c r="AL996" s="38"/>
      <c r="AM996" s="38"/>
      <c r="AN996" s="38"/>
      <c r="AO996" s="38"/>
      <c r="AP996" s="38"/>
    </row>
    <row r="997" spans="1:42" ht="12.75">
      <c r="A997" s="38"/>
      <c r="B997" s="38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  <c r="AE997" s="38"/>
      <c r="AF997" s="38"/>
      <c r="AG997" s="38"/>
      <c r="AH997" s="38"/>
      <c r="AI997" s="38"/>
      <c r="AJ997" s="38"/>
      <c r="AK997" s="38"/>
      <c r="AL997" s="38"/>
      <c r="AM997" s="38"/>
      <c r="AN997" s="38"/>
      <c r="AO997" s="38"/>
      <c r="AP997" s="38"/>
    </row>
    <row r="998" spans="1:42" ht="12.75">
      <c r="A998" s="38"/>
      <c r="B998" s="38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  <c r="AA998" s="38"/>
      <c r="AB998" s="38"/>
      <c r="AC998" s="38"/>
      <c r="AD998" s="38"/>
      <c r="AE998" s="38"/>
      <c r="AF998" s="38"/>
      <c r="AG998" s="38"/>
      <c r="AH998" s="38"/>
      <c r="AI998" s="38"/>
      <c r="AJ998" s="38"/>
      <c r="AK998" s="38"/>
      <c r="AL998" s="38"/>
      <c r="AM998" s="38"/>
      <c r="AN998" s="38"/>
      <c r="AO998" s="38"/>
      <c r="AP998" s="38"/>
    </row>
    <row r="999" spans="1:42" ht="12.75">
      <c r="A999" s="38"/>
      <c r="B999" s="38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  <c r="AE999" s="38"/>
      <c r="AF999" s="38"/>
      <c r="AG999" s="38"/>
      <c r="AH999" s="38"/>
      <c r="AI999" s="38"/>
      <c r="AJ999" s="38"/>
      <c r="AK999" s="38"/>
      <c r="AL999" s="38"/>
      <c r="AM999" s="38"/>
      <c r="AN999" s="38"/>
      <c r="AO999" s="38"/>
      <c r="AP999" s="38"/>
    </row>
    <row r="1000" spans="1:42" ht="12.75">
      <c r="A1000" s="38"/>
      <c r="B1000" s="38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  <c r="AE1000" s="38"/>
      <c r="AF1000" s="38"/>
      <c r="AG1000" s="38"/>
      <c r="AH1000" s="38"/>
      <c r="AI1000" s="38"/>
      <c r="AJ1000" s="38"/>
      <c r="AK1000" s="38"/>
      <c r="AL1000" s="38"/>
      <c r="AM1000" s="38"/>
      <c r="AN1000" s="38"/>
      <c r="AO1000" s="38"/>
      <c r="AP1000" s="38"/>
    </row>
  </sheetData>
  <sheetProtection/>
  <mergeCells count="12">
    <mergeCell ref="AC1:AF1"/>
    <mergeCell ref="W1:Y1"/>
    <mergeCell ref="S1:V1"/>
    <mergeCell ref="E2:F2"/>
    <mergeCell ref="G2:H2"/>
    <mergeCell ref="M2:N2"/>
    <mergeCell ref="G1:N1"/>
    <mergeCell ref="I2:J2"/>
    <mergeCell ref="K2:L2"/>
    <mergeCell ref="E1:F1"/>
    <mergeCell ref="C1:D1"/>
    <mergeCell ref="Z1:A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Sammut</dc:creator>
  <cp:keywords/>
  <dc:description/>
  <cp:lastModifiedBy>Tony Sammut</cp:lastModifiedBy>
  <dcterms:created xsi:type="dcterms:W3CDTF">2018-02-18T21:25:57Z</dcterms:created>
  <dcterms:modified xsi:type="dcterms:W3CDTF">2018-02-18T21:39:25Z</dcterms:modified>
  <cp:category/>
  <cp:version/>
  <cp:contentType/>
  <cp:contentStatus/>
</cp:coreProperties>
</file>