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Dropbox\MVAExecutiveCouncil2015-2019\Season2015-2016\Fixtures\"/>
    </mc:Choice>
  </mc:AlternateContent>
  <bookViews>
    <workbookView xWindow="0" yWindow="0" windowWidth="20490" windowHeight="7155" tabRatio="780" firstSheet="2" activeTab="2"/>
  </bookViews>
  <sheets>
    <sheet name="Mini Volley Girls" sheetId="1" state="hidden" r:id="rId1"/>
    <sheet name="U13 Girls" sheetId="2" state="hidden" r:id="rId2"/>
    <sheet name="Fixtures" sheetId="3" r:id="rId3"/>
    <sheet name="JohnBugejaTributeWomenGames" sheetId="13" r:id="rId4"/>
    <sheet name="JohnBugejaTributeMenGames" sheetId="14" r:id="rId5"/>
    <sheet name="SuperCup Women" sheetId="16" r:id="rId6"/>
    <sheet name="ChristmasCupWomen" sheetId="24" r:id="rId7"/>
    <sheet name="ChristmasCupMen" sheetId="25" r:id="rId8"/>
    <sheet name="MenLeagueGames" sheetId="17" r:id="rId9"/>
    <sheet name="WomenLeagueGames1stRound" sheetId="15" r:id="rId10"/>
    <sheet name="WomenSuperLeague" sheetId="21" r:id="rId11"/>
    <sheet name="Women1stDivLeague" sheetId="23" r:id="rId12"/>
    <sheet name="WomenUnder18" sheetId="19" r:id="rId13"/>
    <sheet name="WomenUnder16" sheetId="20" r:id="rId14"/>
    <sheet name="WomenUnder14" sheetId="28" r:id="rId15"/>
    <sheet name="WomenNational-Fr.ParnisCup" sheetId="30" r:id="rId16"/>
    <sheet name="MenNational-Fr.ParnisCup" sheetId="31" r:id="rId17"/>
  </sheets>
  <definedNames>
    <definedName name="_xlnm._FilterDatabase" localSheetId="3" hidden="1">JohnBugejaTributeWomenGames!$U$12:$AL$15</definedName>
    <definedName name="_xlnm.Print_Area" localSheetId="9">WomenLeagueGames1stRound!$A$4:$D$48</definedName>
  </definedNames>
  <calcPr calcId="152511" concurrentCalc="0"/>
</workbook>
</file>

<file path=xl/calcChain.xml><?xml version="1.0" encoding="utf-8"?>
<calcChain xmlns="http://schemas.openxmlformats.org/spreadsheetml/2006/main">
  <c r="G581" i="3" l="1"/>
  <c r="H581" i="3"/>
  <c r="I581" i="3"/>
  <c r="J581" i="3"/>
  <c r="K581" i="3"/>
  <c r="F581" i="3"/>
  <c r="G579" i="3"/>
  <c r="H579" i="3"/>
  <c r="I579" i="3"/>
  <c r="J579" i="3"/>
  <c r="K579" i="3"/>
  <c r="F579" i="3"/>
  <c r="G577" i="3"/>
  <c r="H577" i="3"/>
  <c r="I577" i="3"/>
  <c r="J577" i="3"/>
  <c r="K577" i="3"/>
  <c r="G575" i="3"/>
  <c r="H575" i="3"/>
  <c r="I575" i="3"/>
  <c r="F577" i="3"/>
  <c r="F575" i="3"/>
  <c r="K575" i="3"/>
  <c r="J575" i="3"/>
  <c r="Y8" i="23"/>
  <c r="Y6" i="19"/>
  <c r="G557" i="3"/>
  <c r="H557" i="3"/>
  <c r="I557" i="3"/>
  <c r="J557" i="3"/>
  <c r="K557" i="3"/>
  <c r="F557" i="3"/>
  <c r="G554" i="3"/>
  <c r="H554" i="3"/>
  <c r="I554" i="3"/>
  <c r="J554" i="3"/>
  <c r="K554" i="3"/>
  <c r="F554" i="3"/>
  <c r="G546" i="3"/>
  <c r="H546" i="3"/>
  <c r="I546" i="3"/>
  <c r="J546" i="3"/>
  <c r="K546" i="3"/>
  <c r="F546" i="3"/>
  <c r="G529" i="3"/>
  <c r="H529" i="3"/>
  <c r="I529" i="3"/>
  <c r="J529" i="3"/>
  <c r="K529" i="3"/>
  <c r="F529" i="3"/>
  <c r="G567" i="3"/>
  <c r="H567" i="3"/>
  <c r="I567" i="3"/>
  <c r="J567" i="3"/>
  <c r="K567" i="3"/>
  <c r="F567" i="3"/>
  <c r="G569" i="3"/>
  <c r="H569" i="3"/>
  <c r="I569" i="3"/>
  <c r="J569" i="3"/>
  <c r="K569" i="3"/>
  <c r="F569" i="3"/>
  <c r="G572" i="3"/>
  <c r="H572" i="3"/>
  <c r="I572" i="3"/>
  <c r="J572" i="3"/>
  <c r="K572" i="3"/>
  <c r="F572" i="3"/>
  <c r="G549" i="3"/>
  <c r="H549" i="3"/>
  <c r="I549" i="3"/>
  <c r="J549" i="3"/>
  <c r="K549" i="3"/>
  <c r="F549" i="3"/>
  <c r="G539" i="3"/>
  <c r="H539" i="3"/>
  <c r="I539" i="3"/>
  <c r="J539" i="3"/>
  <c r="K539" i="3"/>
  <c r="F539" i="3"/>
  <c r="G537" i="3"/>
  <c r="H537" i="3"/>
  <c r="I537" i="3"/>
  <c r="J537" i="3"/>
  <c r="K537" i="3"/>
  <c r="F537" i="3"/>
  <c r="G535" i="3"/>
  <c r="H535" i="3"/>
  <c r="I535" i="3"/>
  <c r="J535" i="3"/>
  <c r="K535" i="3"/>
  <c r="F535" i="3"/>
  <c r="G532" i="3"/>
  <c r="H532" i="3"/>
  <c r="I532" i="3"/>
  <c r="J532" i="3"/>
  <c r="K532" i="3"/>
  <c r="F532" i="3"/>
  <c r="G526" i="3"/>
  <c r="H526" i="3"/>
  <c r="I526" i="3"/>
  <c r="J526" i="3"/>
  <c r="K526" i="3"/>
  <c r="F526" i="3"/>
  <c r="G562" i="3"/>
  <c r="H562" i="3"/>
  <c r="I562" i="3"/>
  <c r="J562" i="3"/>
  <c r="K562" i="3"/>
  <c r="F562" i="3"/>
  <c r="G544" i="3"/>
  <c r="H544" i="3"/>
  <c r="I544" i="3"/>
  <c r="J544" i="3"/>
  <c r="K544" i="3"/>
  <c r="F544" i="3"/>
  <c r="G565" i="3"/>
  <c r="H565" i="3"/>
  <c r="I565" i="3"/>
  <c r="J565" i="3"/>
  <c r="K565" i="3"/>
  <c r="F565" i="3"/>
  <c r="G560" i="3"/>
  <c r="H560" i="3"/>
  <c r="I560" i="3"/>
  <c r="J560" i="3"/>
  <c r="K560" i="3"/>
  <c r="F560" i="3"/>
  <c r="G552" i="3"/>
  <c r="H552" i="3"/>
  <c r="I552" i="3"/>
  <c r="J552" i="3"/>
  <c r="K552" i="3"/>
  <c r="F552" i="3"/>
  <c r="G542" i="3"/>
  <c r="H542" i="3"/>
  <c r="I542" i="3"/>
  <c r="J542" i="3"/>
  <c r="K542" i="3"/>
  <c r="F542" i="3"/>
  <c r="G524" i="3"/>
  <c r="H524" i="3"/>
  <c r="I524" i="3"/>
  <c r="J524" i="3"/>
  <c r="K524" i="3"/>
  <c r="F524" i="3"/>
  <c r="G522" i="3"/>
  <c r="H522" i="3"/>
  <c r="I522" i="3"/>
  <c r="J522" i="3"/>
  <c r="K522" i="3"/>
  <c r="F522" i="3"/>
  <c r="R7" i="31"/>
  <c r="Q7" i="31"/>
  <c r="R6" i="31"/>
  <c r="Q6" i="31"/>
  <c r="R5" i="31"/>
  <c r="Q5" i="31"/>
  <c r="R4" i="31"/>
  <c r="Q4" i="31"/>
  <c r="Q4" i="30"/>
  <c r="R4" i="30"/>
  <c r="Q5" i="30"/>
  <c r="R5" i="30"/>
  <c r="Q6" i="30"/>
  <c r="R6" i="30"/>
  <c r="Q7" i="30"/>
  <c r="R7" i="30"/>
  <c r="Q8" i="30"/>
  <c r="R8" i="30"/>
  <c r="Q9" i="30"/>
  <c r="R9" i="30"/>
  <c r="G519" i="3"/>
  <c r="H519" i="3"/>
  <c r="I519" i="3"/>
  <c r="J519" i="3"/>
  <c r="K519" i="3"/>
  <c r="F519" i="3"/>
  <c r="G517" i="3"/>
  <c r="H517" i="3"/>
  <c r="I517" i="3"/>
  <c r="J517" i="3"/>
  <c r="K517" i="3"/>
  <c r="F517" i="3"/>
  <c r="AC7" i="28"/>
  <c r="AD7" i="28"/>
  <c r="AE7" i="28"/>
  <c r="R7" i="28"/>
  <c r="AC6" i="28"/>
  <c r="AD6" i="28"/>
  <c r="AE6" i="28"/>
  <c r="R6" i="28"/>
  <c r="AC5" i="28"/>
  <c r="AD5" i="28"/>
  <c r="AE5" i="28"/>
  <c r="R5" i="28"/>
  <c r="AF7" i="28"/>
  <c r="M4" i="28"/>
  <c r="M6" i="28"/>
  <c r="M7" i="28"/>
  <c r="M9" i="28"/>
  <c r="M10" i="28"/>
  <c r="M12" i="28"/>
  <c r="M13" i="28"/>
  <c r="M15" i="28"/>
  <c r="AA7" i="28"/>
  <c r="N4" i="28"/>
  <c r="N6" i="28"/>
  <c r="N7" i="28"/>
  <c r="N9" i="28"/>
  <c r="N10" i="28"/>
  <c r="N12" i="28"/>
  <c r="N13" i="28"/>
  <c r="N15" i="28"/>
  <c r="Z7" i="28"/>
  <c r="X7" i="28"/>
  <c r="W7" i="28"/>
  <c r="U7" i="28"/>
  <c r="T7" i="28"/>
  <c r="AF6" i="28"/>
  <c r="M5" i="28"/>
  <c r="M8" i="28"/>
  <c r="M11" i="28"/>
  <c r="M14" i="28"/>
  <c r="AA6" i="28"/>
  <c r="N5" i="28"/>
  <c r="N8" i="28"/>
  <c r="N11" i="28"/>
  <c r="N14" i="28"/>
  <c r="Z6" i="28"/>
  <c r="X6" i="28"/>
  <c r="W6" i="28"/>
  <c r="U6" i="28"/>
  <c r="T6" i="28"/>
  <c r="AF5" i="28"/>
  <c r="AA5" i="28"/>
  <c r="Z5" i="28"/>
  <c r="X5" i="28"/>
  <c r="W5" i="28"/>
  <c r="U5" i="28"/>
  <c r="T5" i="28"/>
  <c r="AB7" i="28"/>
  <c r="Y7" i="28"/>
  <c r="S7" i="28"/>
  <c r="AB6" i="28"/>
  <c r="Y6" i="28"/>
  <c r="S6" i="28"/>
  <c r="AB5" i="28"/>
  <c r="Y5" i="28"/>
  <c r="S5" i="28"/>
  <c r="AJ5" i="21"/>
  <c r="AI4" i="21"/>
  <c r="G455" i="3"/>
  <c r="H455" i="3"/>
  <c r="I455" i="3"/>
  <c r="J455" i="3"/>
  <c r="K455" i="3"/>
  <c r="F455" i="3"/>
  <c r="G472" i="3"/>
  <c r="H472" i="3"/>
  <c r="I472" i="3"/>
  <c r="J472" i="3"/>
  <c r="K472" i="3"/>
  <c r="F472" i="3"/>
  <c r="G470" i="3"/>
  <c r="H470" i="3"/>
  <c r="I470" i="3"/>
  <c r="J470" i="3"/>
  <c r="K470" i="3"/>
  <c r="F470" i="3"/>
  <c r="G508" i="3"/>
  <c r="H508" i="3"/>
  <c r="I508" i="3"/>
  <c r="J508" i="3"/>
  <c r="K508" i="3"/>
  <c r="F508" i="3"/>
  <c r="G506" i="3"/>
  <c r="H506" i="3"/>
  <c r="I506" i="3"/>
  <c r="J506" i="3"/>
  <c r="K506" i="3"/>
  <c r="F506" i="3"/>
  <c r="F510" i="3"/>
  <c r="G510" i="3"/>
  <c r="H510" i="3"/>
  <c r="I510" i="3"/>
  <c r="J510" i="3"/>
  <c r="K510" i="3"/>
  <c r="F512" i="3"/>
  <c r="G512" i="3"/>
  <c r="H512" i="3"/>
  <c r="I512" i="3"/>
  <c r="J512" i="3"/>
  <c r="K512" i="3"/>
  <c r="G490" i="3"/>
  <c r="H490" i="3"/>
  <c r="I490" i="3"/>
  <c r="J490" i="3"/>
  <c r="K490" i="3"/>
  <c r="G488" i="3"/>
  <c r="H488" i="3"/>
  <c r="I488" i="3"/>
  <c r="J488" i="3"/>
  <c r="K488" i="3"/>
  <c r="F490" i="3"/>
  <c r="F488" i="3"/>
  <c r="G462" i="3"/>
  <c r="H462" i="3"/>
  <c r="I462" i="3"/>
  <c r="J462" i="3"/>
  <c r="K462" i="3"/>
  <c r="G460" i="3"/>
  <c r="H460" i="3"/>
  <c r="I460" i="3"/>
  <c r="J460" i="3"/>
  <c r="K460" i="3"/>
  <c r="F462" i="3"/>
  <c r="F460" i="3"/>
  <c r="G442" i="3"/>
  <c r="H442" i="3"/>
  <c r="I442" i="3"/>
  <c r="J442" i="3"/>
  <c r="K442" i="3"/>
  <c r="G440" i="3"/>
  <c r="H440" i="3"/>
  <c r="I440" i="3"/>
  <c r="J440" i="3"/>
  <c r="K440" i="3"/>
  <c r="F442" i="3"/>
  <c r="F440" i="3"/>
  <c r="G306" i="3"/>
  <c r="H306" i="3"/>
  <c r="I306" i="3"/>
  <c r="J306" i="3"/>
  <c r="K306" i="3"/>
  <c r="F306" i="3"/>
  <c r="G205" i="3"/>
  <c r="H205" i="3"/>
  <c r="I205" i="3"/>
  <c r="J205" i="3"/>
  <c r="K205" i="3"/>
  <c r="F205" i="3"/>
  <c r="F208" i="3"/>
  <c r="G208" i="3"/>
  <c r="H208" i="3"/>
  <c r="I208" i="3"/>
  <c r="J208" i="3"/>
  <c r="K208" i="3"/>
  <c r="F435" i="3"/>
  <c r="G435" i="3"/>
  <c r="H435" i="3"/>
  <c r="I435" i="3"/>
  <c r="J435" i="3"/>
  <c r="K435" i="3"/>
  <c r="F437" i="3"/>
  <c r="G437" i="3"/>
  <c r="H437" i="3"/>
  <c r="I437" i="3"/>
  <c r="J437" i="3"/>
  <c r="K437" i="3"/>
  <c r="Y4" i="19"/>
  <c r="X4" i="19"/>
  <c r="W4" i="19"/>
  <c r="X6" i="19"/>
  <c r="AB4" i="23"/>
  <c r="AB5" i="23"/>
  <c r="AB7" i="23"/>
  <c r="X4" i="20"/>
  <c r="AB5" i="21"/>
  <c r="F354" i="3"/>
  <c r="G253" i="3"/>
  <c r="H253" i="3"/>
  <c r="I253" i="3"/>
  <c r="J253" i="3"/>
  <c r="K253" i="3"/>
  <c r="F253" i="3"/>
  <c r="K251" i="3"/>
  <c r="J251" i="3"/>
  <c r="I251" i="3"/>
  <c r="H251" i="3"/>
  <c r="G251" i="3"/>
  <c r="F251" i="3"/>
  <c r="G249" i="3"/>
  <c r="H249" i="3"/>
  <c r="I249" i="3"/>
  <c r="J249" i="3"/>
  <c r="K249" i="3"/>
  <c r="F249" i="3"/>
  <c r="G214" i="3"/>
  <c r="H214" i="3"/>
  <c r="I214" i="3"/>
  <c r="J214" i="3"/>
  <c r="K214" i="3"/>
  <c r="F214" i="3"/>
  <c r="G211" i="3"/>
  <c r="H211" i="3"/>
  <c r="I211" i="3"/>
  <c r="J211" i="3"/>
  <c r="K211" i="3"/>
  <c r="F211" i="3"/>
  <c r="G195" i="3"/>
  <c r="H195" i="3"/>
  <c r="I195" i="3"/>
  <c r="J195" i="3"/>
  <c r="K195" i="3"/>
  <c r="F195" i="3"/>
  <c r="G192" i="3"/>
  <c r="H192" i="3"/>
  <c r="I192" i="3"/>
  <c r="J192" i="3"/>
  <c r="K192" i="3"/>
  <c r="G190" i="3"/>
  <c r="H190" i="3"/>
  <c r="I190" i="3"/>
  <c r="J190" i="3"/>
  <c r="K190" i="3"/>
  <c r="F192" i="3"/>
  <c r="F190" i="3"/>
  <c r="R7" i="25"/>
  <c r="Q7" i="25"/>
  <c r="R6" i="25"/>
  <c r="Q6" i="25"/>
  <c r="R5" i="25"/>
  <c r="Q5" i="25"/>
  <c r="R4" i="25"/>
  <c r="Q4" i="25"/>
  <c r="R7" i="24"/>
  <c r="Q7" i="24"/>
  <c r="AL6" i="24"/>
  <c r="AK6" i="24"/>
  <c r="AJ6" i="24"/>
  <c r="AI6" i="24"/>
  <c r="AH6" i="24"/>
  <c r="AG6" i="24"/>
  <c r="AB6" i="24"/>
  <c r="AA6" i="24"/>
  <c r="Y6" i="24"/>
  <c r="X6" i="24"/>
  <c r="W6" i="24"/>
  <c r="R6" i="24"/>
  <c r="Q6" i="24"/>
  <c r="AL4" i="24"/>
  <c r="AK4" i="24"/>
  <c r="AJ4" i="24"/>
  <c r="AI4" i="24"/>
  <c r="AH4" i="24"/>
  <c r="AG4" i="24"/>
  <c r="V4" i="24"/>
  <c r="AB4" i="24"/>
  <c r="AA4" i="24"/>
  <c r="Y4" i="24"/>
  <c r="X4" i="24"/>
  <c r="W4" i="24"/>
  <c r="R5" i="24"/>
  <c r="AE5" i="24"/>
  <c r="Q5" i="24"/>
  <c r="AL5" i="24"/>
  <c r="AK5" i="24"/>
  <c r="AJ5" i="24"/>
  <c r="AI5" i="24"/>
  <c r="AH5" i="24"/>
  <c r="AG5" i="24"/>
  <c r="AB5" i="24"/>
  <c r="AA5" i="24"/>
  <c r="Y5" i="24"/>
  <c r="X5" i="24"/>
  <c r="R4" i="24"/>
  <c r="Q4" i="24"/>
  <c r="AD6" i="24"/>
  <c r="V6" i="24"/>
  <c r="V5" i="24"/>
  <c r="AC5" i="24"/>
  <c r="AD4" i="24"/>
  <c r="AD5" i="24"/>
  <c r="AF5" i="24"/>
  <c r="W5" i="24"/>
  <c r="AC6" i="24"/>
  <c r="AC4" i="24"/>
  <c r="AE4" i="24"/>
  <c r="AF4" i="24"/>
  <c r="AE6" i="24"/>
  <c r="AF6" i="24"/>
  <c r="Y11" i="15"/>
  <c r="Y10" i="15"/>
  <c r="X10" i="15"/>
  <c r="AG5" i="23"/>
  <c r="AL5" i="20"/>
  <c r="AK5" i="20"/>
  <c r="AJ5" i="20"/>
  <c r="AI5" i="20"/>
  <c r="AH5" i="20"/>
  <c r="AG5" i="20"/>
  <c r="AB5" i="20"/>
  <c r="AA5" i="20"/>
  <c r="Y5" i="20"/>
  <c r="X5" i="20"/>
  <c r="AL4" i="20"/>
  <c r="AK4" i="20"/>
  <c r="AJ4" i="20"/>
  <c r="AI4" i="20"/>
  <c r="AH4" i="20"/>
  <c r="AG4" i="20"/>
  <c r="AB4" i="20"/>
  <c r="AA4" i="20"/>
  <c r="Y4" i="20"/>
  <c r="AL6" i="20"/>
  <c r="AK6" i="20"/>
  <c r="AI7" i="20"/>
  <c r="AJ6" i="20"/>
  <c r="AI6" i="20"/>
  <c r="AH6" i="20"/>
  <c r="AG6" i="20"/>
  <c r="AB6" i="20"/>
  <c r="AA6" i="20"/>
  <c r="Y6" i="20"/>
  <c r="X6" i="20"/>
  <c r="AL7" i="20"/>
  <c r="AK7" i="20"/>
  <c r="AJ7" i="20"/>
  <c r="AH7" i="20"/>
  <c r="AG7" i="20"/>
  <c r="AB7" i="20"/>
  <c r="X7" i="20"/>
  <c r="AA7" i="20"/>
  <c r="Y7" i="20"/>
  <c r="AL6" i="19"/>
  <c r="AK6" i="19"/>
  <c r="AJ6" i="19"/>
  <c r="AI6" i="19"/>
  <c r="AH6" i="19"/>
  <c r="AG6" i="19"/>
  <c r="AB6" i="19"/>
  <c r="AA6" i="19"/>
  <c r="AL5" i="19"/>
  <c r="AK5" i="19"/>
  <c r="AJ5" i="19"/>
  <c r="AI5" i="19"/>
  <c r="AH5" i="19"/>
  <c r="AG5" i="19"/>
  <c r="AB5" i="19"/>
  <c r="AA5" i="19"/>
  <c r="AC5" i="19"/>
  <c r="Y5" i="19"/>
  <c r="X5" i="19"/>
  <c r="AG4" i="19"/>
  <c r="AL4" i="19"/>
  <c r="AK4" i="19"/>
  <c r="AJ4" i="19"/>
  <c r="AI4" i="19"/>
  <c r="AH4" i="19"/>
  <c r="AB4" i="19"/>
  <c r="AA4" i="19"/>
  <c r="AL7" i="17"/>
  <c r="AK7" i="17"/>
  <c r="AJ7" i="17"/>
  <c r="AI7" i="17"/>
  <c r="AH7" i="17"/>
  <c r="AG7" i="17"/>
  <c r="AB7" i="17"/>
  <c r="AA7" i="17"/>
  <c r="Y7" i="17"/>
  <c r="X7" i="17"/>
  <c r="AL5" i="17"/>
  <c r="AK5" i="17"/>
  <c r="AJ5" i="17"/>
  <c r="AI5" i="17"/>
  <c r="AH5" i="17"/>
  <c r="AG5" i="17"/>
  <c r="AA5" i="17"/>
  <c r="Y5" i="17"/>
  <c r="X5" i="17"/>
  <c r="AL4" i="17"/>
  <c r="AK4" i="17"/>
  <c r="AJ4" i="17"/>
  <c r="AI4" i="17"/>
  <c r="AH4" i="17"/>
  <c r="AG4" i="17"/>
  <c r="AL6" i="17"/>
  <c r="AB5" i="17"/>
  <c r="AK6" i="17"/>
  <c r="AJ6" i="17"/>
  <c r="AI6" i="17"/>
  <c r="AH6" i="17"/>
  <c r="AG6" i="17"/>
  <c r="AA6" i="17"/>
  <c r="Y6" i="17"/>
  <c r="X6" i="17"/>
  <c r="AB4" i="17"/>
  <c r="AA4" i="17"/>
  <c r="Y4" i="17"/>
  <c r="X4" i="17"/>
  <c r="AB6" i="17"/>
  <c r="V4" i="20"/>
  <c r="W4" i="20"/>
  <c r="R4" i="16"/>
  <c r="Q4" i="16"/>
  <c r="Y5" i="15"/>
  <c r="G514" i="3"/>
  <c r="H514" i="3"/>
  <c r="I514" i="3"/>
  <c r="J514" i="3"/>
  <c r="K514" i="3"/>
  <c r="F514" i="3"/>
  <c r="G503" i="3"/>
  <c r="H503" i="3"/>
  <c r="I503" i="3"/>
  <c r="J503" i="3"/>
  <c r="K503" i="3"/>
  <c r="F503" i="3"/>
  <c r="G496" i="3"/>
  <c r="H496" i="3"/>
  <c r="I496" i="3"/>
  <c r="J496" i="3"/>
  <c r="K496" i="3"/>
  <c r="F496" i="3"/>
  <c r="G485" i="3"/>
  <c r="H485" i="3"/>
  <c r="I485" i="3"/>
  <c r="J485" i="3"/>
  <c r="K485" i="3"/>
  <c r="F485" i="3"/>
  <c r="F475" i="3"/>
  <c r="G475" i="3"/>
  <c r="H475" i="3"/>
  <c r="I475" i="3"/>
  <c r="J475" i="3"/>
  <c r="K475" i="3"/>
  <c r="F478" i="3"/>
  <c r="G478" i="3"/>
  <c r="H478" i="3"/>
  <c r="I478" i="3"/>
  <c r="J478" i="3"/>
  <c r="K478" i="3"/>
  <c r="G357" i="3"/>
  <c r="H357" i="3"/>
  <c r="I357" i="3"/>
  <c r="J357" i="3"/>
  <c r="K357" i="3"/>
  <c r="G361" i="3"/>
  <c r="H361" i="3"/>
  <c r="I361" i="3"/>
  <c r="J361" i="3"/>
  <c r="K361" i="3"/>
  <c r="F361" i="3"/>
  <c r="F357" i="3"/>
  <c r="G359" i="3"/>
  <c r="H359" i="3"/>
  <c r="I359" i="3"/>
  <c r="J359" i="3"/>
  <c r="K359" i="3"/>
  <c r="F359" i="3"/>
  <c r="Q31" i="17"/>
  <c r="R31" i="17"/>
  <c r="Q28" i="17"/>
  <c r="R28" i="17"/>
  <c r="Q29" i="17"/>
  <c r="R29" i="17"/>
  <c r="Q30" i="17"/>
  <c r="R30" i="17"/>
  <c r="G457" i="3"/>
  <c r="H457" i="3"/>
  <c r="I457" i="3"/>
  <c r="J457" i="3"/>
  <c r="K457" i="3"/>
  <c r="F457" i="3"/>
  <c r="G448" i="3"/>
  <c r="H448" i="3"/>
  <c r="I448" i="3"/>
  <c r="J448" i="3"/>
  <c r="K448" i="3"/>
  <c r="F448" i="3"/>
  <c r="Q27" i="17"/>
  <c r="R27" i="17"/>
  <c r="Q23" i="17"/>
  <c r="R23" i="17"/>
  <c r="Q24" i="17"/>
  <c r="R24" i="17"/>
  <c r="Q25" i="17"/>
  <c r="R25" i="17"/>
  <c r="Q26" i="17"/>
  <c r="R26" i="17"/>
  <c r="Q22" i="17"/>
  <c r="R22" i="17"/>
  <c r="G424" i="3"/>
  <c r="H424" i="3"/>
  <c r="I424" i="3"/>
  <c r="J424" i="3"/>
  <c r="K424" i="3"/>
  <c r="F424" i="3"/>
  <c r="G409" i="3"/>
  <c r="H409" i="3"/>
  <c r="I409" i="3"/>
  <c r="J409" i="3"/>
  <c r="K409" i="3"/>
  <c r="F409" i="3"/>
  <c r="G354" i="3"/>
  <c r="H354" i="3"/>
  <c r="I354" i="3"/>
  <c r="J354" i="3"/>
  <c r="K354" i="3"/>
  <c r="G336" i="3"/>
  <c r="H336" i="3"/>
  <c r="I336" i="3"/>
  <c r="J336" i="3"/>
  <c r="K336" i="3"/>
  <c r="F336" i="3"/>
  <c r="G338" i="3"/>
  <c r="H338" i="3"/>
  <c r="I338" i="3"/>
  <c r="J338" i="3"/>
  <c r="K338" i="3"/>
  <c r="F338" i="3"/>
  <c r="G340" i="3"/>
  <c r="H340" i="3"/>
  <c r="I340" i="3"/>
  <c r="J340" i="3"/>
  <c r="K340" i="3"/>
  <c r="F340" i="3"/>
  <c r="F296" i="3"/>
  <c r="G267" i="3"/>
  <c r="H267" i="3"/>
  <c r="I267" i="3"/>
  <c r="J267" i="3"/>
  <c r="K267" i="3"/>
  <c r="F267" i="3"/>
  <c r="G324" i="3"/>
  <c r="H324" i="3"/>
  <c r="I324" i="3"/>
  <c r="J324" i="3"/>
  <c r="K324" i="3"/>
  <c r="F324" i="3"/>
  <c r="G326" i="3"/>
  <c r="H326" i="3"/>
  <c r="I326" i="3"/>
  <c r="J326" i="3"/>
  <c r="K326" i="3"/>
  <c r="F326" i="3"/>
  <c r="G312" i="3"/>
  <c r="H312" i="3"/>
  <c r="I312" i="3"/>
  <c r="J312" i="3"/>
  <c r="K312" i="3"/>
  <c r="F312" i="3"/>
  <c r="G303" i="3"/>
  <c r="H303" i="3"/>
  <c r="I303" i="3"/>
  <c r="J303" i="3"/>
  <c r="K303" i="3"/>
  <c r="F303" i="3"/>
  <c r="G280" i="3"/>
  <c r="H280" i="3"/>
  <c r="I280" i="3"/>
  <c r="J280" i="3"/>
  <c r="K280" i="3"/>
  <c r="F280" i="3"/>
  <c r="Q5" i="17"/>
  <c r="R6" i="17"/>
  <c r="Q9" i="17"/>
  <c r="Q11" i="17"/>
  <c r="R12" i="17"/>
  <c r="Q15" i="17"/>
  <c r="Q17" i="17"/>
  <c r="R18" i="17"/>
  <c r="Q21" i="17"/>
  <c r="R5" i="17"/>
  <c r="Q6" i="17"/>
  <c r="R9" i="17"/>
  <c r="R11" i="17"/>
  <c r="Q12" i="17"/>
  <c r="R15" i="17"/>
  <c r="R17" i="17"/>
  <c r="Q18" i="17"/>
  <c r="R21" i="17"/>
  <c r="W7" i="17"/>
  <c r="Q4" i="17"/>
  <c r="R7" i="17"/>
  <c r="Q10" i="17"/>
  <c r="R13" i="17"/>
  <c r="Q16" i="17"/>
  <c r="R19" i="17"/>
  <c r="R4" i="17"/>
  <c r="Q7" i="17"/>
  <c r="R10" i="17"/>
  <c r="Q13" i="17"/>
  <c r="R16" i="17"/>
  <c r="Q19" i="17"/>
  <c r="Q8" i="17"/>
  <c r="Q14" i="17"/>
  <c r="Q20" i="17"/>
  <c r="R8" i="17"/>
  <c r="R14" i="17"/>
  <c r="R20" i="17"/>
  <c r="G501" i="3"/>
  <c r="H501" i="3"/>
  <c r="I501" i="3"/>
  <c r="J501" i="3"/>
  <c r="K501" i="3"/>
  <c r="F501" i="3"/>
  <c r="G499" i="3"/>
  <c r="H499" i="3"/>
  <c r="I499" i="3"/>
  <c r="J499" i="3"/>
  <c r="K499" i="3"/>
  <c r="F499" i="3"/>
  <c r="G483" i="3"/>
  <c r="H483" i="3"/>
  <c r="I483" i="3"/>
  <c r="J483" i="3"/>
  <c r="K483" i="3"/>
  <c r="F483" i="3"/>
  <c r="G481" i="3"/>
  <c r="H481" i="3"/>
  <c r="I481" i="3"/>
  <c r="J481" i="3"/>
  <c r="K481" i="3"/>
  <c r="F481" i="3"/>
  <c r="G453" i="3"/>
  <c r="H453" i="3"/>
  <c r="I453" i="3"/>
  <c r="J453" i="3"/>
  <c r="K453" i="3"/>
  <c r="F453" i="3"/>
  <c r="G451" i="3"/>
  <c r="H451" i="3"/>
  <c r="I451" i="3"/>
  <c r="J451" i="3"/>
  <c r="K451" i="3"/>
  <c r="F451" i="3"/>
  <c r="G433" i="3"/>
  <c r="H433" i="3"/>
  <c r="I433" i="3"/>
  <c r="J433" i="3"/>
  <c r="K433" i="3"/>
  <c r="F433" i="3"/>
  <c r="G413" i="3"/>
  <c r="H413" i="3"/>
  <c r="I413" i="3"/>
  <c r="J413" i="3"/>
  <c r="K413" i="3"/>
  <c r="F413" i="3"/>
  <c r="G411" i="3"/>
  <c r="H411" i="3"/>
  <c r="I411" i="3"/>
  <c r="J411" i="3"/>
  <c r="K411" i="3"/>
  <c r="F411" i="3"/>
  <c r="F416" i="3"/>
  <c r="G416" i="3"/>
  <c r="H416" i="3"/>
  <c r="I416" i="3"/>
  <c r="J416" i="3"/>
  <c r="K416" i="3"/>
  <c r="G395" i="3"/>
  <c r="H395" i="3"/>
  <c r="I395" i="3"/>
  <c r="J395" i="3"/>
  <c r="K395" i="3"/>
  <c r="F395" i="3"/>
  <c r="G393" i="3"/>
  <c r="H393" i="3"/>
  <c r="I393" i="3"/>
  <c r="J393" i="3"/>
  <c r="K393" i="3"/>
  <c r="F393" i="3"/>
  <c r="G384" i="3"/>
  <c r="H384" i="3"/>
  <c r="I384" i="3"/>
  <c r="J384" i="3"/>
  <c r="K384" i="3"/>
  <c r="F384" i="3"/>
  <c r="G375" i="3"/>
  <c r="H375" i="3"/>
  <c r="I375" i="3"/>
  <c r="J375" i="3"/>
  <c r="K375" i="3"/>
  <c r="F375" i="3"/>
  <c r="G345" i="3"/>
  <c r="H345" i="3"/>
  <c r="I345" i="3"/>
  <c r="J345" i="3"/>
  <c r="K345" i="3"/>
  <c r="F345" i="3"/>
  <c r="G343" i="3"/>
  <c r="H343" i="3"/>
  <c r="I343" i="3"/>
  <c r="J343" i="3"/>
  <c r="K343" i="3"/>
  <c r="F343" i="3"/>
  <c r="G347" i="3"/>
  <c r="H347" i="3"/>
  <c r="I347" i="3"/>
  <c r="J347" i="3"/>
  <c r="K347" i="3"/>
  <c r="F347" i="3"/>
  <c r="G301" i="3"/>
  <c r="H301" i="3"/>
  <c r="I301" i="3"/>
  <c r="J301" i="3"/>
  <c r="K301" i="3"/>
  <c r="F301" i="3"/>
  <c r="G494" i="3"/>
  <c r="H494" i="3"/>
  <c r="I494" i="3"/>
  <c r="J494" i="3"/>
  <c r="K494" i="3"/>
  <c r="F492" i="3"/>
  <c r="F494" i="3"/>
  <c r="G492" i="3"/>
  <c r="H492" i="3"/>
  <c r="I492" i="3"/>
  <c r="J492" i="3"/>
  <c r="K492" i="3"/>
  <c r="G466" i="3"/>
  <c r="H466" i="3"/>
  <c r="I466" i="3"/>
  <c r="J466" i="3"/>
  <c r="K466" i="3"/>
  <c r="F466" i="3"/>
  <c r="G464" i="3"/>
  <c r="H464" i="3"/>
  <c r="I464" i="3"/>
  <c r="J464" i="3"/>
  <c r="K464" i="3"/>
  <c r="F464" i="3"/>
  <c r="G446" i="3"/>
  <c r="H446" i="3"/>
  <c r="I446" i="3"/>
  <c r="J446" i="3"/>
  <c r="K446" i="3"/>
  <c r="F446" i="3"/>
  <c r="G444" i="3"/>
  <c r="H444" i="3"/>
  <c r="I444" i="3"/>
  <c r="J444" i="3"/>
  <c r="K444" i="3"/>
  <c r="F444" i="3"/>
  <c r="G422" i="3"/>
  <c r="H422" i="3"/>
  <c r="I422" i="3"/>
  <c r="J422" i="3"/>
  <c r="K422" i="3"/>
  <c r="F422" i="3"/>
  <c r="G420" i="3"/>
  <c r="H420" i="3"/>
  <c r="I420" i="3"/>
  <c r="J420" i="3"/>
  <c r="K420" i="3"/>
  <c r="F420" i="3"/>
  <c r="G404" i="3"/>
  <c r="H404" i="3"/>
  <c r="I404" i="3"/>
  <c r="J404" i="3"/>
  <c r="K404" i="3"/>
  <c r="F404" i="3"/>
  <c r="G402" i="3"/>
  <c r="H402" i="3"/>
  <c r="I402" i="3"/>
  <c r="J402" i="3"/>
  <c r="K402" i="3"/>
  <c r="F402" i="3"/>
  <c r="G388" i="3"/>
  <c r="H388" i="3"/>
  <c r="I388" i="3"/>
  <c r="J388" i="3"/>
  <c r="K388" i="3"/>
  <c r="F388" i="3"/>
  <c r="G386" i="3"/>
  <c r="H386" i="3"/>
  <c r="I386" i="3"/>
  <c r="J386" i="3"/>
  <c r="K386" i="3"/>
  <c r="F386" i="3"/>
  <c r="G368" i="3"/>
  <c r="H368" i="3"/>
  <c r="I368" i="3"/>
  <c r="J368" i="3"/>
  <c r="K368" i="3"/>
  <c r="F368" i="3"/>
  <c r="G366" i="3"/>
  <c r="H366" i="3"/>
  <c r="I366" i="3"/>
  <c r="J366" i="3"/>
  <c r="K366" i="3"/>
  <c r="F366" i="3"/>
  <c r="G352" i="3"/>
  <c r="H352" i="3"/>
  <c r="I352" i="3"/>
  <c r="J352" i="3"/>
  <c r="K352" i="3"/>
  <c r="F352" i="3"/>
  <c r="G350" i="3"/>
  <c r="H350" i="3"/>
  <c r="I350" i="3"/>
  <c r="J350" i="3"/>
  <c r="K350" i="3"/>
  <c r="F350" i="3"/>
  <c r="G331" i="3"/>
  <c r="H331" i="3"/>
  <c r="I331" i="3"/>
  <c r="J331" i="3"/>
  <c r="K331" i="3"/>
  <c r="F331" i="3"/>
  <c r="G329" i="3"/>
  <c r="H329" i="3"/>
  <c r="I329" i="3"/>
  <c r="J329" i="3"/>
  <c r="K329" i="3"/>
  <c r="F329" i="3"/>
  <c r="R23" i="23"/>
  <c r="Q23" i="23"/>
  <c r="R22" i="23"/>
  <c r="Q22" i="23"/>
  <c r="R21" i="23"/>
  <c r="Q21" i="23"/>
  <c r="R20" i="23"/>
  <c r="Q20" i="23"/>
  <c r="R19" i="23"/>
  <c r="Q19" i="23"/>
  <c r="R18" i="23"/>
  <c r="Q18" i="23"/>
  <c r="R17" i="23"/>
  <c r="Q17" i="23"/>
  <c r="R16" i="23"/>
  <c r="Q16" i="23"/>
  <c r="R15" i="23"/>
  <c r="Q15" i="23"/>
  <c r="R14" i="23"/>
  <c r="Q14" i="23"/>
  <c r="R13" i="23"/>
  <c r="Q13" i="23"/>
  <c r="R12" i="23"/>
  <c r="Q12" i="23"/>
  <c r="R11" i="23"/>
  <c r="Q11" i="23"/>
  <c r="R10" i="23"/>
  <c r="Q10" i="23"/>
  <c r="R9" i="23"/>
  <c r="Q9" i="23"/>
  <c r="AL8" i="23"/>
  <c r="AK8" i="23"/>
  <c r="AJ8" i="23"/>
  <c r="AI8" i="23"/>
  <c r="AH8" i="23"/>
  <c r="AG8" i="23"/>
  <c r="AB8" i="23"/>
  <c r="AA8" i="23"/>
  <c r="X8" i="23"/>
  <c r="W8" i="23"/>
  <c r="R8" i="23"/>
  <c r="Q8" i="23"/>
  <c r="R7" i="23"/>
  <c r="AL7" i="23"/>
  <c r="AK7" i="23"/>
  <c r="AJ7" i="23"/>
  <c r="AI7" i="23"/>
  <c r="AH7" i="23"/>
  <c r="AG7" i="23"/>
  <c r="AA7" i="23"/>
  <c r="AC7" i="23"/>
  <c r="Y7" i="23"/>
  <c r="X7" i="23"/>
  <c r="Q7" i="23"/>
  <c r="AL6" i="23"/>
  <c r="AK6" i="23"/>
  <c r="AJ6" i="23"/>
  <c r="AI6" i="23"/>
  <c r="AH6" i="23"/>
  <c r="AG6" i="23"/>
  <c r="AB6" i="23"/>
  <c r="AA6" i="23"/>
  <c r="AC6" i="23"/>
  <c r="Y6" i="23"/>
  <c r="X6" i="23"/>
  <c r="R6" i="23"/>
  <c r="R5" i="23"/>
  <c r="Q6" i="23"/>
  <c r="AL4" i="23"/>
  <c r="AK4" i="23"/>
  <c r="AJ4" i="23"/>
  <c r="AI4" i="23"/>
  <c r="AG4" i="23"/>
  <c r="AH4" i="23"/>
  <c r="R4" i="23"/>
  <c r="AA4" i="23"/>
  <c r="AC4" i="23"/>
  <c r="Y4" i="23"/>
  <c r="X4" i="23"/>
  <c r="Q5" i="23"/>
  <c r="AL5" i="23"/>
  <c r="AK5" i="23"/>
  <c r="AJ5" i="23"/>
  <c r="AI5" i="23"/>
  <c r="AH5" i="23"/>
  <c r="AA5" i="23"/>
  <c r="AC5" i="23"/>
  <c r="Y5" i="23"/>
  <c r="X5" i="23"/>
  <c r="W5" i="23"/>
  <c r="Q4" i="23"/>
  <c r="AL7" i="21"/>
  <c r="AK7" i="21"/>
  <c r="AJ7" i="21"/>
  <c r="AI7" i="21"/>
  <c r="AH7" i="21"/>
  <c r="AG7" i="21"/>
  <c r="AL8" i="21"/>
  <c r="AK8" i="21"/>
  <c r="AI8" i="21"/>
  <c r="AJ8" i="21"/>
  <c r="AH8" i="21"/>
  <c r="AG8" i="21"/>
  <c r="AL6" i="21"/>
  <c r="AK6" i="21"/>
  <c r="AJ6" i="21"/>
  <c r="AI6" i="21"/>
  <c r="AH6" i="21"/>
  <c r="AG6" i="21"/>
  <c r="AL5" i="21"/>
  <c r="AK5" i="21"/>
  <c r="AI5" i="21"/>
  <c r="AH5" i="21"/>
  <c r="AG5" i="21"/>
  <c r="AL4" i="21"/>
  <c r="AK4" i="21"/>
  <c r="AJ4" i="21"/>
  <c r="AH4" i="21"/>
  <c r="AG4" i="21"/>
  <c r="AA4" i="21"/>
  <c r="X4" i="21"/>
  <c r="K294" i="3"/>
  <c r="J294" i="3"/>
  <c r="I294" i="3"/>
  <c r="H294" i="3"/>
  <c r="G294" i="3"/>
  <c r="F294" i="3"/>
  <c r="K269" i="3"/>
  <c r="J269" i="3"/>
  <c r="I269" i="3"/>
  <c r="H269" i="3"/>
  <c r="G269" i="3"/>
  <c r="F269" i="3"/>
  <c r="R5" i="21"/>
  <c r="R7" i="21"/>
  <c r="R9" i="21"/>
  <c r="Q11" i="21"/>
  <c r="Q15" i="21"/>
  <c r="Q17" i="21"/>
  <c r="Q19" i="21"/>
  <c r="R21" i="21"/>
  <c r="Q5" i="21"/>
  <c r="Q7" i="21"/>
  <c r="Q9" i="21"/>
  <c r="R11" i="21"/>
  <c r="R15" i="21"/>
  <c r="R17" i="21"/>
  <c r="R19" i="21"/>
  <c r="Q21" i="21"/>
  <c r="AB7" i="21"/>
  <c r="AA7" i="21"/>
  <c r="Y4" i="21"/>
  <c r="Y5" i="21"/>
  <c r="Y6" i="21"/>
  <c r="Y7" i="21"/>
  <c r="X7" i="21"/>
  <c r="Q4" i="21"/>
  <c r="Q8" i="21"/>
  <c r="Q13" i="21"/>
  <c r="R14" i="21"/>
  <c r="R18" i="21"/>
  <c r="R22" i="21"/>
  <c r="R4" i="21"/>
  <c r="R8" i="21"/>
  <c r="R13" i="21"/>
  <c r="Q14" i="21"/>
  <c r="Q18" i="21"/>
  <c r="Q22" i="21"/>
  <c r="AB8" i="21"/>
  <c r="AA8" i="21"/>
  <c r="Y8" i="21"/>
  <c r="X8" i="21"/>
  <c r="Q6" i="21"/>
  <c r="R10" i="21"/>
  <c r="R16" i="21"/>
  <c r="Q20" i="21"/>
  <c r="R6" i="21"/>
  <c r="Q10" i="21"/>
  <c r="Q16" i="21"/>
  <c r="R20" i="21"/>
  <c r="AB6" i="21"/>
  <c r="AA6" i="21"/>
  <c r="X6" i="21"/>
  <c r="W6" i="21"/>
  <c r="AA5" i="21"/>
  <c r="AC5" i="21"/>
  <c r="Q12" i="21"/>
  <c r="R23" i="21"/>
  <c r="R12" i="21"/>
  <c r="Q23" i="21"/>
  <c r="X5" i="21"/>
  <c r="AB4" i="21"/>
  <c r="K317" i="3"/>
  <c r="J317" i="3"/>
  <c r="I317" i="3"/>
  <c r="H317" i="3"/>
  <c r="G317" i="3"/>
  <c r="F317" i="3"/>
  <c r="K310" i="3"/>
  <c r="J310" i="3"/>
  <c r="I310" i="3"/>
  <c r="H310" i="3"/>
  <c r="G310" i="3"/>
  <c r="F310" i="3"/>
  <c r="J296" i="3"/>
  <c r="K296" i="3"/>
  <c r="F264" i="3"/>
  <c r="J262" i="3"/>
  <c r="K262" i="3"/>
  <c r="G289" i="3"/>
  <c r="H289" i="3"/>
  <c r="I289" i="3"/>
  <c r="J289" i="3"/>
  <c r="K289" i="3"/>
  <c r="F289" i="3"/>
  <c r="G285" i="3"/>
  <c r="H285" i="3"/>
  <c r="I285" i="3"/>
  <c r="J285" i="3"/>
  <c r="K285" i="3"/>
  <c r="F285" i="3"/>
  <c r="Q4" i="15"/>
  <c r="R9" i="15"/>
  <c r="Q14" i="15"/>
  <c r="R19" i="15"/>
  <c r="Q24" i="15"/>
  <c r="R29" i="15"/>
  <c r="Q34" i="15"/>
  <c r="R39" i="15"/>
  <c r="Q44" i="15"/>
  <c r="AL6" i="15"/>
  <c r="AK6" i="15"/>
  <c r="AJ6" i="15"/>
  <c r="AI6" i="15"/>
  <c r="AH6" i="15"/>
  <c r="AG6" i="15"/>
  <c r="AB6" i="15"/>
  <c r="AC6" i="15"/>
  <c r="AA6" i="15"/>
  <c r="Y6" i="15"/>
  <c r="X6" i="15"/>
  <c r="W6" i="15"/>
  <c r="AL4" i="15"/>
  <c r="AK4" i="15"/>
  <c r="AJ4" i="15"/>
  <c r="AI4" i="15"/>
  <c r="AH4" i="15"/>
  <c r="AG4" i="15"/>
  <c r="AB4" i="15"/>
  <c r="AA4" i="15"/>
  <c r="Y4" i="15"/>
  <c r="X4" i="15"/>
  <c r="AL8" i="15"/>
  <c r="AK8" i="15"/>
  <c r="AJ8" i="15"/>
  <c r="AI8" i="15"/>
  <c r="AH8" i="15"/>
  <c r="AG8" i="15"/>
  <c r="AB8" i="15"/>
  <c r="AA8" i="15"/>
  <c r="Y8" i="15"/>
  <c r="X8" i="15"/>
  <c r="AL13" i="15"/>
  <c r="AK13" i="15"/>
  <c r="AJ13" i="15"/>
  <c r="AI13" i="15"/>
  <c r="AH13" i="15"/>
  <c r="AG13" i="15"/>
  <c r="AB13" i="15"/>
  <c r="AA13" i="15"/>
  <c r="Y13" i="15"/>
  <c r="X13" i="15"/>
  <c r="AL11" i="15"/>
  <c r="AK11" i="15"/>
  <c r="AJ11" i="15"/>
  <c r="AI11" i="15"/>
  <c r="AH11" i="15"/>
  <c r="AG11" i="15"/>
  <c r="V11" i="15"/>
  <c r="X11" i="15"/>
  <c r="AG5" i="15"/>
  <c r="K282" i="3"/>
  <c r="J282" i="3"/>
  <c r="I282" i="3"/>
  <c r="H282" i="3"/>
  <c r="G282" i="3"/>
  <c r="F282" i="3"/>
  <c r="K264" i="3"/>
  <c r="J264" i="3"/>
  <c r="I264" i="3"/>
  <c r="H264" i="3"/>
  <c r="G264" i="3"/>
  <c r="I244" i="3"/>
  <c r="H244" i="3"/>
  <c r="G244" i="3"/>
  <c r="F244" i="3"/>
  <c r="AB11" i="15"/>
  <c r="AA11" i="15"/>
  <c r="W11" i="15"/>
  <c r="AL5" i="15"/>
  <c r="AK5" i="15"/>
  <c r="AJ5" i="15"/>
  <c r="AI5" i="15"/>
  <c r="AH5" i="15"/>
  <c r="Q5" i="15"/>
  <c r="R15" i="15"/>
  <c r="Q21" i="15"/>
  <c r="R27" i="15"/>
  <c r="Q6" i="15"/>
  <c r="R12" i="15"/>
  <c r="Q18" i="15"/>
  <c r="Q23" i="15"/>
  <c r="Q31" i="15"/>
  <c r="R35" i="15"/>
  <c r="Q39" i="15"/>
  <c r="Q45" i="15"/>
  <c r="Q33" i="15"/>
  <c r="Q38" i="15"/>
  <c r="R42" i="15"/>
  <c r="Q46" i="15"/>
  <c r="R5" i="15"/>
  <c r="Q9" i="15"/>
  <c r="Q15" i="15"/>
  <c r="R21" i="15"/>
  <c r="Q27" i="15"/>
  <c r="R6" i="15"/>
  <c r="Q12" i="15"/>
  <c r="R18" i="15"/>
  <c r="R23" i="15"/>
  <c r="R31" i="15"/>
  <c r="Q35" i="15"/>
  <c r="R45" i="15"/>
  <c r="R33" i="15"/>
  <c r="R38" i="15"/>
  <c r="AE6" i="15"/>
  <c r="Q42" i="15"/>
  <c r="R46" i="15"/>
  <c r="AB5" i="15"/>
  <c r="AA5" i="15"/>
  <c r="X5" i="15"/>
  <c r="AH7" i="15"/>
  <c r="AG7" i="15"/>
  <c r="AL7" i="15"/>
  <c r="AK7" i="15"/>
  <c r="AJ7" i="15"/>
  <c r="AI7" i="15"/>
  <c r="Q10" i="15"/>
  <c r="R16" i="15"/>
  <c r="Q22" i="15"/>
  <c r="R28" i="15"/>
  <c r="Q37" i="15"/>
  <c r="R41" i="15"/>
  <c r="Q8" i="15"/>
  <c r="Q16" i="15"/>
  <c r="R20" i="15"/>
  <c r="Q30" i="15"/>
  <c r="R36" i="15"/>
  <c r="R48" i="15"/>
  <c r="R4" i="15"/>
  <c r="R10" i="15"/>
  <c r="R22" i="15"/>
  <c r="Q28" i="15"/>
  <c r="R37" i="15"/>
  <c r="Q41" i="15"/>
  <c r="AD7" i="15"/>
  <c r="AF7" i="15"/>
  <c r="Y7" i="15"/>
  <c r="AB7" i="15"/>
  <c r="AA7" i="15"/>
  <c r="X7" i="15"/>
  <c r="AL9" i="15"/>
  <c r="AK9" i="15"/>
  <c r="AJ9" i="15"/>
  <c r="AI9" i="15"/>
  <c r="AH9" i="15"/>
  <c r="AG9" i="15"/>
  <c r="AB9" i="15"/>
  <c r="AA9" i="15"/>
  <c r="Y9" i="15"/>
  <c r="X9" i="15"/>
  <c r="AL12" i="15"/>
  <c r="AK12" i="15"/>
  <c r="AJ12" i="15"/>
  <c r="AI12" i="15"/>
  <c r="AH12" i="15"/>
  <c r="AG12" i="15"/>
  <c r="R8" i="15"/>
  <c r="Q20" i="15"/>
  <c r="R24" i="15"/>
  <c r="R30" i="15"/>
  <c r="Q36" i="15"/>
  <c r="Q48" i="15"/>
  <c r="AG10" i="15"/>
  <c r="AH10" i="15"/>
  <c r="AI10" i="15"/>
  <c r="AJ10" i="15"/>
  <c r="AB12" i="15"/>
  <c r="AA12" i="15"/>
  <c r="AC12" i="15"/>
  <c r="Y12" i="15"/>
  <c r="X12" i="15"/>
  <c r="R14" i="15"/>
  <c r="Q19" i="15"/>
  <c r="Q29" i="15"/>
  <c r="R34" i="15"/>
  <c r="R44" i="15"/>
  <c r="AK10" i="15"/>
  <c r="AL10" i="15"/>
  <c r="AB10" i="15"/>
  <c r="AA10" i="15"/>
  <c r="W10" i="15"/>
  <c r="V4" i="15"/>
  <c r="AG4" i="13"/>
  <c r="AH4" i="13"/>
  <c r="AI4" i="13"/>
  <c r="AJ4" i="13"/>
  <c r="V4" i="13"/>
  <c r="R15" i="19"/>
  <c r="Q12" i="19"/>
  <c r="AD6" i="19"/>
  <c r="Q15" i="19"/>
  <c r="R12" i="19"/>
  <c r="AE6" i="19"/>
  <c r="R14" i="19"/>
  <c r="Q13" i="19"/>
  <c r="AD5" i="19"/>
  <c r="Q14" i="19"/>
  <c r="R13" i="19"/>
  <c r="AE5" i="19"/>
  <c r="R11" i="19"/>
  <c r="Q11" i="19"/>
  <c r="R10" i="19"/>
  <c r="Q10" i="19"/>
  <c r="R9" i="19"/>
  <c r="Q9" i="19"/>
  <c r="R8" i="19"/>
  <c r="Q8" i="19"/>
  <c r="R7" i="19"/>
  <c r="Q7" i="19"/>
  <c r="R6" i="19"/>
  <c r="Q6" i="19"/>
  <c r="R5" i="19"/>
  <c r="Q5" i="19"/>
  <c r="R4" i="19"/>
  <c r="Q4" i="19"/>
  <c r="R21" i="20"/>
  <c r="Q21" i="20"/>
  <c r="R20" i="20"/>
  <c r="Q20" i="20"/>
  <c r="R19" i="20"/>
  <c r="Q19" i="20"/>
  <c r="R18" i="20"/>
  <c r="Q18" i="20"/>
  <c r="R17" i="20"/>
  <c r="Q17" i="20"/>
  <c r="R16" i="20"/>
  <c r="Q16" i="20"/>
  <c r="R15" i="20"/>
  <c r="Q15" i="20"/>
  <c r="R14" i="20"/>
  <c r="Q14" i="20"/>
  <c r="R13" i="20"/>
  <c r="Q13" i="20"/>
  <c r="R12" i="20"/>
  <c r="Q12" i="20"/>
  <c r="R11" i="20"/>
  <c r="Q11" i="20"/>
  <c r="R10" i="20"/>
  <c r="Q10" i="20"/>
  <c r="R9" i="20"/>
  <c r="Q9" i="20"/>
  <c r="R8" i="20"/>
  <c r="Q8" i="20"/>
  <c r="R7" i="20"/>
  <c r="Q7" i="20"/>
  <c r="R6" i="20"/>
  <c r="Q6" i="20"/>
  <c r="R5" i="20"/>
  <c r="Q5" i="20"/>
  <c r="R4" i="20"/>
  <c r="Q4" i="20"/>
  <c r="R7" i="15"/>
  <c r="R11" i="15"/>
  <c r="R13" i="15"/>
  <c r="R17" i="15"/>
  <c r="R25" i="15"/>
  <c r="R26" i="15"/>
  <c r="R32" i="15"/>
  <c r="R40" i="15"/>
  <c r="AE4" i="15"/>
  <c r="R43" i="15"/>
  <c r="R47" i="15"/>
  <c r="Q7" i="15"/>
  <c r="Q11" i="15"/>
  <c r="Q13" i="15"/>
  <c r="Q17" i="15"/>
  <c r="Q25" i="15"/>
  <c r="Q26" i="15"/>
  <c r="Q32" i="15"/>
  <c r="Q40" i="15"/>
  <c r="Q43" i="15"/>
  <c r="Q47" i="15"/>
  <c r="K406" i="3"/>
  <c r="J406" i="3"/>
  <c r="I406" i="3"/>
  <c r="H406" i="3"/>
  <c r="G406" i="3"/>
  <c r="F406" i="3"/>
  <c r="K377" i="3"/>
  <c r="J377" i="3"/>
  <c r="I377" i="3"/>
  <c r="H377" i="3"/>
  <c r="G377" i="3"/>
  <c r="F377" i="3"/>
  <c r="K364" i="3"/>
  <c r="J364" i="3"/>
  <c r="I364" i="3"/>
  <c r="H364" i="3"/>
  <c r="G364" i="3"/>
  <c r="F364" i="3"/>
  <c r="K333" i="3"/>
  <c r="J333" i="3"/>
  <c r="I333" i="3"/>
  <c r="H333" i="3"/>
  <c r="G333" i="3"/>
  <c r="F333" i="3"/>
  <c r="K319" i="3"/>
  <c r="J319" i="3"/>
  <c r="I319" i="3"/>
  <c r="H319" i="3"/>
  <c r="G319" i="3"/>
  <c r="F319" i="3"/>
  <c r="K391" i="3"/>
  <c r="J391" i="3"/>
  <c r="I391" i="3"/>
  <c r="H391" i="3"/>
  <c r="G391" i="3"/>
  <c r="F391" i="3"/>
  <c r="K373" i="3"/>
  <c r="J373" i="3"/>
  <c r="I373" i="3"/>
  <c r="H373" i="3"/>
  <c r="G373" i="3"/>
  <c r="F373" i="3"/>
  <c r="K308" i="3"/>
  <c r="J308" i="3"/>
  <c r="I308" i="3"/>
  <c r="H308" i="3"/>
  <c r="G308" i="3"/>
  <c r="F308" i="3"/>
  <c r="K418" i="3"/>
  <c r="J418" i="3"/>
  <c r="I418" i="3"/>
  <c r="H418" i="3"/>
  <c r="G418" i="3"/>
  <c r="F418" i="3"/>
  <c r="K400" i="3"/>
  <c r="J400" i="3"/>
  <c r="I400" i="3"/>
  <c r="H400" i="3"/>
  <c r="G400" i="3"/>
  <c r="F400" i="3"/>
  <c r="K398" i="3"/>
  <c r="J398" i="3"/>
  <c r="I398" i="3"/>
  <c r="H398" i="3"/>
  <c r="G398" i="3"/>
  <c r="F398" i="3"/>
  <c r="K382" i="3"/>
  <c r="J382" i="3"/>
  <c r="I382" i="3"/>
  <c r="H382" i="3"/>
  <c r="G382" i="3"/>
  <c r="F382" i="3"/>
  <c r="K380" i="3"/>
  <c r="J380" i="3"/>
  <c r="I380" i="3"/>
  <c r="H380" i="3"/>
  <c r="G380" i="3"/>
  <c r="F380" i="3"/>
  <c r="K299" i="3"/>
  <c r="J299" i="3"/>
  <c r="I299" i="3"/>
  <c r="H299" i="3"/>
  <c r="G299" i="3"/>
  <c r="F299" i="3"/>
  <c r="K276" i="3"/>
  <c r="J276" i="3"/>
  <c r="I276" i="3"/>
  <c r="H276" i="3"/>
  <c r="G276" i="3"/>
  <c r="K274" i="3"/>
  <c r="J274" i="3"/>
  <c r="I274" i="3"/>
  <c r="H274" i="3"/>
  <c r="G274" i="3"/>
  <c r="F276" i="3"/>
  <c r="F274" i="3"/>
  <c r="F278" i="3"/>
  <c r="G278" i="3"/>
  <c r="H278" i="3"/>
  <c r="I278" i="3"/>
  <c r="J278" i="3"/>
  <c r="K278" i="3"/>
  <c r="K258" i="3"/>
  <c r="J258" i="3"/>
  <c r="I258" i="3"/>
  <c r="H258" i="3"/>
  <c r="G258" i="3"/>
  <c r="F258" i="3"/>
  <c r="K256" i="3"/>
  <c r="J256" i="3"/>
  <c r="I256" i="3"/>
  <c r="H256" i="3"/>
  <c r="G256" i="3"/>
  <c r="F256" i="3"/>
  <c r="K181" i="3"/>
  <c r="J181" i="3"/>
  <c r="I181" i="3"/>
  <c r="H181" i="3"/>
  <c r="G181" i="3"/>
  <c r="K179" i="3"/>
  <c r="J179" i="3"/>
  <c r="I179" i="3"/>
  <c r="H179" i="3"/>
  <c r="G179" i="3"/>
  <c r="F181" i="3"/>
  <c r="F179" i="3"/>
  <c r="K172" i="3"/>
  <c r="J172" i="3"/>
  <c r="I172" i="3"/>
  <c r="H172" i="3"/>
  <c r="G172" i="3"/>
  <c r="F172" i="3"/>
  <c r="K138" i="3"/>
  <c r="J138" i="3"/>
  <c r="I138" i="3"/>
  <c r="H138" i="3"/>
  <c r="G138" i="3"/>
  <c r="F138" i="3"/>
  <c r="K242" i="3"/>
  <c r="J242" i="3"/>
  <c r="I242" i="3"/>
  <c r="H242" i="3"/>
  <c r="G242" i="3"/>
  <c r="F242" i="3"/>
  <c r="K152" i="3"/>
  <c r="J152" i="3"/>
  <c r="I152" i="3"/>
  <c r="H152" i="3"/>
  <c r="G152" i="3"/>
  <c r="F152" i="3"/>
  <c r="K120" i="3"/>
  <c r="J120" i="3"/>
  <c r="I120" i="3"/>
  <c r="H120" i="3"/>
  <c r="G120" i="3"/>
  <c r="F120" i="3"/>
  <c r="K161" i="3"/>
  <c r="J161" i="3"/>
  <c r="I161" i="3"/>
  <c r="H161" i="3"/>
  <c r="G161" i="3"/>
  <c r="K159" i="3"/>
  <c r="J159" i="3"/>
  <c r="I159" i="3"/>
  <c r="H159" i="3"/>
  <c r="G159" i="3"/>
  <c r="F161" i="3"/>
  <c r="F159" i="3"/>
  <c r="K129" i="3"/>
  <c r="J129" i="3"/>
  <c r="I129" i="3"/>
  <c r="H129" i="3"/>
  <c r="G129" i="3"/>
  <c r="K127" i="3"/>
  <c r="J127" i="3"/>
  <c r="I127" i="3"/>
  <c r="H127" i="3"/>
  <c r="G127" i="3"/>
  <c r="F129" i="3"/>
  <c r="F127" i="3"/>
  <c r="K106" i="3"/>
  <c r="J106" i="3"/>
  <c r="I106" i="3"/>
  <c r="H106" i="3"/>
  <c r="G106" i="3"/>
  <c r="F106" i="3"/>
  <c r="K90" i="3"/>
  <c r="J90" i="3"/>
  <c r="I90" i="3"/>
  <c r="H90" i="3"/>
  <c r="G90" i="3"/>
  <c r="F90" i="3"/>
  <c r="K81" i="3"/>
  <c r="J81" i="3"/>
  <c r="I81" i="3"/>
  <c r="H81" i="3"/>
  <c r="G81" i="3"/>
  <c r="F81" i="3"/>
  <c r="K79" i="3"/>
  <c r="J79" i="3"/>
  <c r="I79" i="3"/>
  <c r="H79" i="3"/>
  <c r="G79" i="3"/>
  <c r="F79" i="3"/>
  <c r="V5" i="20"/>
  <c r="AC5" i="20"/>
  <c r="W5" i="20"/>
  <c r="AC6" i="20"/>
  <c r="W6" i="20"/>
  <c r="AF6" i="19"/>
  <c r="AC6" i="19"/>
  <c r="AF5" i="19"/>
  <c r="AC4" i="19"/>
  <c r="W5" i="19"/>
  <c r="W6" i="19"/>
  <c r="AC7" i="20"/>
  <c r="V6" i="20"/>
  <c r="V7" i="20"/>
  <c r="W7" i="20"/>
  <c r="V5" i="19"/>
  <c r="V6" i="19"/>
  <c r="V4" i="19"/>
  <c r="X14" i="13"/>
  <c r="Y13" i="13"/>
  <c r="H271" i="3"/>
  <c r="I271" i="3"/>
  <c r="J271" i="3"/>
  <c r="K271" i="3"/>
  <c r="AA5" i="13"/>
  <c r="Y7" i="13"/>
  <c r="K292" i="3"/>
  <c r="J292" i="3"/>
  <c r="I292" i="3"/>
  <c r="H292" i="3"/>
  <c r="G292" i="3"/>
  <c r="F292" i="3"/>
  <c r="R5" i="14"/>
  <c r="R6" i="14"/>
  <c r="R7" i="14"/>
  <c r="R4" i="14"/>
  <c r="Q5" i="14"/>
  <c r="Q6" i="14"/>
  <c r="Q7" i="14"/>
  <c r="Q4" i="14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4" i="13"/>
  <c r="K50" i="3"/>
  <c r="J50" i="3"/>
  <c r="I50" i="3"/>
  <c r="H50" i="3"/>
  <c r="G50" i="3"/>
  <c r="F50" i="3"/>
  <c r="G271" i="3"/>
  <c r="F271" i="3"/>
  <c r="K260" i="3"/>
  <c r="J260" i="3"/>
  <c r="I260" i="3"/>
  <c r="H260" i="3"/>
  <c r="G260" i="3"/>
  <c r="F260" i="3"/>
  <c r="K244" i="3"/>
  <c r="J244" i="3"/>
  <c r="K221" i="3"/>
  <c r="J221" i="3"/>
  <c r="I221" i="3"/>
  <c r="H221" i="3"/>
  <c r="G221" i="3"/>
  <c r="F221" i="3"/>
  <c r="K218" i="3"/>
  <c r="J218" i="3"/>
  <c r="I218" i="3"/>
  <c r="H218" i="3"/>
  <c r="G218" i="3"/>
  <c r="F218" i="3"/>
  <c r="K216" i="3"/>
  <c r="J216" i="3"/>
  <c r="I216" i="3"/>
  <c r="H216" i="3"/>
  <c r="G216" i="3"/>
  <c r="F216" i="3"/>
  <c r="F202" i="3"/>
  <c r="K200" i="3"/>
  <c r="J200" i="3"/>
  <c r="I200" i="3"/>
  <c r="H200" i="3"/>
  <c r="G200" i="3"/>
  <c r="F200" i="3"/>
  <c r="K187" i="3"/>
  <c r="J187" i="3"/>
  <c r="I187" i="3"/>
  <c r="H187" i="3"/>
  <c r="G187" i="3"/>
  <c r="F187" i="3"/>
  <c r="K185" i="3"/>
  <c r="J185" i="3"/>
  <c r="I185" i="3"/>
  <c r="H185" i="3"/>
  <c r="G185" i="3"/>
  <c r="F185" i="3"/>
  <c r="K176" i="3"/>
  <c r="J176" i="3"/>
  <c r="I176" i="3"/>
  <c r="H176" i="3"/>
  <c r="G176" i="3"/>
  <c r="F176" i="3"/>
  <c r="K174" i="3"/>
  <c r="J174" i="3"/>
  <c r="I174" i="3"/>
  <c r="H174" i="3"/>
  <c r="G174" i="3"/>
  <c r="F174" i="3"/>
  <c r="K167" i="3"/>
  <c r="J167" i="3"/>
  <c r="I167" i="3"/>
  <c r="H167" i="3"/>
  <c r="G167" i="3"/>
  <c r="F167" i="3"/>
  <c r="K165" i="3"/>
  <c r="J165" i="3"/>
  <c r="I165" i="3"/>
  <c r="H165" i="3"/>
  <c r="G165" i="3"/>
  <c r="F165" i="3"/>
  <c r="K163" i="3"/>
  <c r="J163" i="3"/>
  <c r="I163" i="3"/>
  <c r="H163" i="3"/>
  <c r="G163" i="3"/>
  <c r="F163" i="3"/>
  <c r="K154" i="3"/>
  <c r="J154" i="3"/>
  <c r="I154" i="3"/>
  <c r="H154" i="3"/>
  <c r="G154" i="3"/>
  <c r="F154" i="3"/>
  <c r="K147" i="3"/>
  <c r="J147" i="3"/>
  <c r="I147" i="3"/>
  <c r="H147" i="3"/>
  <c r="G147" i="3"/>
  <c r="F147" i="3"/>
  <c r="K145" i="3"/>
  <c r="J145" i="3"/>
  <c r="I145" i="3"/>
  <c r="H145" i="3"/>
  <c r="G145" i="3"/>
  <c r="F145" i="3"/>
  <c r="K142" i="3"/>
  <c r="J142" i="3"/>
  <c r="I142" i="3"/>
  <c r="H142" i="3"/>
  <c r="G142" i="3"/>
  <c r="F142" i="3"/>
  <c r="K140" i="3"/>
  <c r="J140" i="3"/>
  <c r="I140" i="3"/>
  <c r="H140" i="3"/>
  <c r="G140" i="3"/>
  <c r="F140" i="3"/>
  <c r="K135" i="3"/>
  <c r="J135" i="3"/>
  <c r="I135" i="3"/>
  <c r="H135" i="3"/>
  <c r="G135" i="3"/>
  <c r="F135" i="3"/>
  <c r="K133" i="3"/>
  <c r="J133" i="3"/>
  <c r="I133" i="3"/>
  <c r="H133" i="3"/>
  <c r="G133" i="3"/>
  <c r="F133" i="3"/>
  <c r="K131" i="3"/>
  <c r="J131" i="3"/>
  <c r="I131" i="3"/>
  <c r="H131" i="3"/>
  <c r="G131" i="3"/>
  <c r="F131" i="3"/>
  <c r="K124" i="3"/>
  <c r="J124" i="3"/>
  <c r="I124" i="3"/>
  <c r="H124" i="3"/>
  <c r="G124" i="3"/>
  <c r="F124" i="3"/>
  <c r="K117" i="3"/>
  <c r="J117" i="3"/>
  <c r="I117" i="3"/>
  <c r="H117" i="3"/>
  <c r="G117" i="3"/>
  <c r="F117" i="3"/>
  <c r="K115" i="3"/>
  <c r="J115" i="3"/>
  <c r="I115" i="3"/>
  <c r="H115" i="3"/>
  <c r="G115" i="3"/>
  <c r="F115" i="3"/>
  <c r="K110" i="3"/>
  <c r="J110" i="3"/>
  <c r="I110" i="3"/>
  <c r="G110" i="3"/>
  <c r="H110" i="3"/>
  <c r="F110" i="3"/>
  <c r="K108" i="3"/>
  <c r="J108" i="3"/>
  <c r="I108" i="3"/>
  <c r="H108" i="3"/>
  <c r="G108" i="3"/>
  <c r="F108" i="3"/>
  <c r="K103" i="3"/>
  <c r="J103" i="3"/>
  <c r="I103" i="3"/>
  <c r="H103" i="3"/>
  <c r="G103" i="3"/>
  <c r="F103" i="3"/>
  <c r="K101" i="3"/>
  <c r="J101" i="3"/>
  <c r="I101" i="3"/>
  <c r="H101" i="3"/>
  <c r="G101" i="3"/>
  <c r="F101" i="3"/>
  <c r="K92" i="3"/>
  <c r="J92" i="3"/>
  <c r="I92" i="3"/>
  <c r="H92" i="3"/>
  <c r="G92" i="3"/>
  <c r="F92" i="3"/>
  <c r="K85" i="3"/>
  <c r="J85" i="3"/>
  <c r="I85" i="3"/>
  <c r="H85" i="3"/>
  <c r="G85" i="3"/>
  <c r="F85" i="3"/>
  <c r="K83" i="3"/>
  <c r="J83" i="3"/>
  <c r="I83" i="3"/>
  <c r="H83" i="3"/>
  <c r="G83" i="3"/>
  <c r="F83" i="3"/>
  <c r="K76" i="3"/>
  <c r="J76" i="3"/>
  <c r="I76" i="3"/>
  <c r="H76" i="3"/>
  <c r="G76" i="3"/>
  <c r="F76" i="3"/>
  <c r="K74" i="3"/>
  <c r="J74" i="3"/>
  <c r="I74" i="3"/>
  <c r="H74" i="3"/>
  <c r="G74" i="3"/>
  <c r="F74" i="3"/>
  <c r="G28" i="3"/>
  <c r="H28" i="3"/>
  <c r="I28" i="3"/>
  <c r="J28" i="3"/>
  <c r="K28" i="3"/>
  <c r="F28" i="3"/>
  <c r="K202" i="3"/>
  <c r="J202" i="3"/>
  <c r="I202" i="3"/>
  <c r="H202" i="3"/>
  <c r="G202" i="3"/>
  <c r="G59" i="3"/>
  <c r="H59" i="3"/>
  <c r="I59" i="3"/>
  <c r="J59" i="3"/>
  <c r="K59" i="3"/>
  <c r="F59" i="3"/>
  <c r="J52" i="3"/>
  <c r="K52" i="3"/>
  <c r="H52" i="3"/>
  <c r="I52" i="3"/>
  <c r="F52" i="3"/>
  <c r="G46" i="3"/>
  <c r="H46" i="3"/>
  <c r="I46" i="3"/>
  <c r="J46" i="3"/>
  <c r="K46" i="3"/>
  <c r="G47" i="3"/>
  <c r="H47" i="3"/>
  <c r="I47" i="3"/>
  <c r="J47" i="3"/>
  <c r="K47" i="3"/>
  <c r="F47" i="3"/>
  <c r="F46" i="3"/>
  <c r="J56" i="3"/>
  <c r="K56" i="3"/>
  <c r="J54" i="3"/>
  <c r="K54" i="3"/>
  <c r="G56" i="3"/>
  <c r="H56" i="3"/>
  <c r="I56" i="3"/>
  <c r="G54" i="3"/>
  <c r="H54" i="3"/>
  <c r="I54" i="3"/>
  <c r="F56" i="3"/>
  <c r="F54" i="3"/>
  <c r="G287" i="3"/>
  <c r="H287" i="3"/>
  <c r="I287" i="3"/>
  <c r="J287" i="3"/>
  <c r="K287" i="3"/>
  <c r="F287" i="3"/>
  <c r="G246" i="3"/>
  <c r="H246" i="3"/>
  <c r="I246" i="3"/>
  <c r="J246" i="3"/>
  <c r="K246" i="3"/>
  <c r="F246" i="3"/>
  <c r="G223" i="3"/>
  <c r="H223" i="3"/>
  <c r="I223" i="3"/>
  <c r="J223" i="3"/>
  <c r="K223" i="3"/>
  <c r="F223" i="3"/>
  <c r="F198" i="3"/>
  <c r="G198" i="3"/>
  <c r="H198" i="3"/>
  <c r="I198" i="3"/>
  <c r="J198" i="3"/>
  <c r="K198" i="3"/>
  <c r="G183" i="3"/>
  <c r="H183" i="3"/>
  <c r="I183" i="3"/>
  <c r="J183" i="3"/>
  <c r="K183" i="3"/>
  <c r="F183" i="3"/>
  <c r="G94" i="3"/>
  <c r="H94" i="3"/>
  <c r="I94" i="3"/>
  <c r="J94" i="3"/>
  <c r="K94" i="3"/>
  <c r="F94" i="3"/>
  <c r="G156" i="3"/>
  <c r="H156" i="3"/>
  <c r="I156" i="3"/>
  <c r="J156" i="3"/>
  <c r="K156" i="3"/>
  <c r="F156" i="3"/>
  <c r="G149" i="3"/>
  <c r="H149" i="3"/>
  <c r="I149" i="3"/>
  <c r="J149" i="3"/>
  <c r="K149" i="3"/>
  <c r="F149" i="3"/>
  <c r="G122" i="3"/>
  <c r="H122" i="3"/>
  <c r="I122" i="3"/>
  <c r="J122" i="3"/>
  <c r="K122" i="3"/>
  <c r="F122" i="3"/>
  <c r="G113" i="3"/>
  <c r="H113" i="3"/>
  <c r="I113" i="3"/>
  <c r="J113" i="3"/>
  <c r="K113" i="3"/>
  <c r="F113" i="3"/>
  <c r="G99" i="3"/>
  <c r="H99" i="3"/>
  <c r="I99" i="3"/>
  <c r="J99" i="3"/>
  <c r="K99" i="3"/>
  <c r="F99" i="3"/>
  <c r="G87" i="3"/>
  <c r="H87" i="3"/>
  <c r="I87" i="3"/>
  <c r="J87" i="3"/>
  <c r="K87" i="3"/>
  <c r="F87" i="3"/>
  <c r="AC6" i="17"/>
  <c r="G71" i="3"/>
  <c r="H71" i="3"/>
  <c r="I71" i="3"/>
  <c r="J71" i="3"/>
  <c r="K71" i="3"/>
  <c r="F71" i="3"/>
  <c r="G69" i="3"/>
  <c r="H69" i="3"/>
  <c r="I69" i="3"/>
  <c r="J69" i="3"/>
  <c r="K69" i="3"/>
  <c r="F69" i="3"/>
  <c r="AL5" i="16"/>
  <c r="AK5" i="16"/>
  <c r="AJ5" i="16"/>
  <c r="AI5" i="16"/>
  <c r="AH5" i="16"/>
  <c r="AG5" i="16"/>
  <c r="AL4" i="16"/>
  <c r="AK4" i="16"/>
  <c r="AJ4" i="16"/>
  <c r="AG4" i="16"/>
  <c r="AH4" i="16"/>
  <c r="AI4" i="16"/>
  <c r="AE5" i="16"/>
  <c r="AF5" i="16"/>
  <c r="AE4" i="16"/>
  <c r="AF4" i="16"/>
  <c r="AD5" i="16"/>
  <c r="AD4" i="16"/>
  <c r="AB5" i="16"/>
  <c r="AC5" i="16"/>
  <c r="AB4" i="16"/>
  <c r="AA5" i="16"/>
  <c r="AA4" i="16"/>
  <c r="Y5" i="16"/>
  <c r="X5" i="16"/>
  <c r="W5" i="16"/>
  <c r="Y4" i="16"/>
  <c r="X4" i="16"/>
  <c r="W4" i="16"/>
  <c r="AC4" i="16"/>
  <c r="AC4" i="15"/>
  <c r="AC8" i="15"/>
  <c r="AC13" i="15"/>
  <c r="G66" i="3"/>
  <c r="H66" i="3"/>
  <c r="I66" i="3"/>
  <c r="J66" i="3"/>
  <c r="K66" i="3"/>
  <c r="F66" i="3"/>
  <c r="G52" i="3"/>
  <c r="AE6" i="14"/>
  <c r="AE4" i="14"/>
  <c r="AE5" i="14"/>
  <c r="AL6" i="14"/>
  <c r="AK6" i="14"/>
  <c r="AJ6" i="14"/>
  <c r="AI6" i="14"/>
  <c r="AH6" i="14"/>
  <c r="AG6" i="14"/>
  <c r="AL4" i="14"/>
  <c r="AK4" i="14"/>
  <c r="AJ4" i="14"/>
  <c r="AI4" i="14"/>
  <c r="AH4" i="14"/>
  <c r="AG4" i="14"/>
  <c r="AK5" i="14"/>
  <c r="AJ5" i="14"/>
  <c r="AI5" i="14"/>
  <c r="AH5" i="14"/>
  <c r="AG5" i="14"/>
  <c r="AL5" i="14"/>
  <c r="AD6" i="14"/>
  <c r="AD4" i="14"/>
  <c r="AD5" i="14"/>
  <c r="AB6" i="14"/>
  <c r="AB4" i="14"/>
  <c r="AA4" i="14"/>
  <c r="AC4" i="14"/>
  <c r="AB5" i="14"/>
  <c r="AA6" i="14"/>
  <c r="AA5" i="14"/>
  <c r="AC5" i="14"/>
  <c r="Y6" i="14"/>
  <c r="Y4" i="14"/>
  <c r="Y5" i="14"/>
  <c r="X5" i="14"/>
  <c r="W5" i="14"/>
  <c r="X6" i="14"/>
  <c r="X4" i="14"/>
  <c r="G64" i="3"/>
  <c r="H64" i="3"/>
  <c r="I64" i="3"/>
  <c r="J64" i="3"/>
  <c r="K64" i="3"/>
  <c r="G62" i="3"/>
  <c r="H62" i="3"/>
  <c r="I62" i="3"/>
  <c r="J62" i="3"/>
  <c r="K62" i="3"/>
  <c r="F64" i="3"/>
  <c r="F62" i="3"/>
  <c r="K40" i="3"/>
  <c r="J40" i="3"/>
  <c r="I40" i="3"/>
  <c r="H40" i="3"/>
  <c r="G40" i="3"/>
  <c r="G41" i="3"/>
  <c r="H41" i="3"/>
  <c r="I41" i="3"/>
  <c r="J41" i="3"/>
  <c r="K41" i="3"/>
  <c r="K37" i="3"/>
  <c r="J37" i="3"/>
  <c r="I37" i="3"/>
  <c r="H37" i="3"/>
  <c r="G37" i="3"/>
  <c r="G36" i="3"/>
  <c r="H36" i="3"/>
  <c r="I36" i="3"/>
  <c r="J36" i="3"/>
  <c r="K36" i="3"/>
  <c r="K34" i="3"/>
  <c r="J34" i="3"/>
  <c r="I34" i="3"/>
  <c r="H34" i="3"/>
  <c r="G34" i="3"/>
  <c r="G33" i="3"/>
  <c r="H33" i="3"/>
  <c r="I33" i="3"/>
  <c r="J33" i="3"/>
  <c r="K33" i="3"/>
  <c r="F41" i="3"/>
  <c r="F40" i="3"/>
  <c r="F37" i="3"/>
  <c r="F36" i="3"/>
  <c r="F34" i="3"/>
  <c r="F33" i="3"/>
  <c r="F22" i="3"/>
  <c r="G22" i="3"/>
  <c r="H22" i="3"/>
  <c r="I22" i="3"/>
  <c r="J22" i="3"/>
  <c r="K22" i="3"/>
  <c r="G21" i="3"/>
  <c r="H21" i="3"/>
  <c r="I21" i="3"/>
  <c r="J21" i="3"/>
  <c r="K21" i="3"/>
  <c r="F21" i="3"/>
  <c r="F12" i="3"/>
  <c r="G12" i="3"/>
  <c r="H12" i="3"/>
  <c r="I12" i="3"/>
  <c r="J12" i="3"/>
  <c r="K12" i="3"/>
  <c r="AL14" i="13"/>
  <c r="AK14" i="13"/>
  <c r="AJ14" i="13"/>
  <c r="AI14" i="13"/>
  <c r="AH14" i="13"/>
  <c r="AG14" i="13"/>
  <c r="AL13" i="13"/>
  <c r="AK13" i="13"/>
  <c r="AJ13" i="13"/>
  <c r="AI13" i="13"/>
  <c r="AH13" i="13"/>
  <c r="AG13" i="13"/>
  <c r="AL15" i="13"/>
  <c r="AK15" i="13"/>
  <c r="AJ15" i="13"/>
  <c r="AG15" i="13"/>
  <c r="AH15" i="13"/>
  <c r="AI15" i="13"/>
  <c r="V15" i="13"/>
  <c r="AL12" i="13"/>
  <c r="AK12" i="13"/>
  <c r="AJ12" i="13"/>
  <c r="AI12" i="13"/>
  <c r="AH12" i="13"/>
  <c r="AG12" i="13"/>
  <c r="AE14" i="13"/>
  <c r="AE13" i="13"/>
  <c r="AE15" i="13"/>
  <c r="AE12" i="13"/>
  <c r="AD14" i="13"/>
  <c r="AD13" i="13"/>
  <c r="AD15" i="13"/>
  <c r="AD12" i="13"/>
  <c r="AB14" i="13"/>
  <c r="AB13" i="13"/>
  <c r="AB15" i="13"/>
  <c r="AB12" i="13"/>
  <c r="AA14" i="13"/>
  <c r="AA13" i="13"/>
  <c r="AA15" i="13"/>
  <c r="AA12" i="13"/>
  <c r="Y14" i="13"/>
  <c r="Y15" i="13"/>
  <c r="Y12" i="13"/>
  <c r="X13" i="13"/>
  <c r="W13" i="13"/>
  <c r="X15" i="13"/>
  <c r="X12" i="13"/>
  <c r="AL6" i="13"/>
  <c r="AK6" i="13"/>
  <c r="AJ6" i="13"/>
  <c r="AI6" i="13"/>
  <c r="AH6" i="13"/>
  <c r="AG6" i="13"/>
  <c r="AE6" i="13"/>
  <c r="AD6" i="13"/>
  <c r="AB6" i="13"/>
  <c r="AA6" i="13"/>
  <c r="Y6" i="13"/>
  <c r="X6" i="13"/>
  <c r="AL5" i="13"/>
  <c r="AH5" i="13"/>
  <c r="AJ5" i="13"/>
  <c r="AK5" i="13"/>
  <c r="AI5" i="13"/>
  <c r="AG5" i="13"/>
  <c r="AE5" i="13"/>
  <c r="AD5" i="13"/>
  <c r="Y5" i="13"/>
  <c r="X5" i="13"/>
  <c r="W5" i="13"/>
  <c r="AL7" i="13"/>
  <c r="AK7" i="13"/>
  <c r="AJ7" i="13"/>
  <c r="AI7" i="13"/>
  <c r="AH7" i="13"/>
  <c r="AG7" i="13"/>
  <c r="AA7" i="13"/>
  <c r="X7" i="13"/>
  <c r="AB5" i="13"/>
  <c r="K11" i="3"/>
  <c r="J11" i="3"/>
  <c r="I11" i="3"/>
  <c r="H11" i="3"/>
  <c r="G11" i="3"/>
  <c r="F11" i="3"/>
  <c r="AL4" i="13"/>
  <c r="AK4" i="13"/>
  <c r="AE7" i="13"/>
  <c r="AD7" i="13"/>
  <c r="AB7" i="13"/>
  <c r="AC7" i="13"/>
  <c r="AE4" i="13"/>
  <c r="AD4" i="13"/>
  <c r="AB4" i="13"/>
  <c r="AC4" i="13"/>
  <c r="AA4" i="13"/>
  <c r="Y4" i="13"/>
  <c r="X4" i="13"/>
  <c r="S4" i="1"/>
  <c r="T4" i="1"/>
  <c r="V4" i="1"/>
  <c r="W4" i="1"/>
  <c r="X4" i="1"/>
  <c r="Y4" i="1"/>
  <c r="Z4" i="1"/>
  <c r="AA4" i="1"/>
  <c r="AB4" i="1"/>
  <c r="S5" i="1"/>
  <c r="T5" i="1"/>
  <c r="V5" i="1"/>
  <c r="W5" i="1"/>
  <c r="X5" i="1"/>
  <c r="Y5" i="1"/>
  <c r="Z5" i="1"/>
  <c r="AA5" i="1"/>
  <c r="AB5" i="1"/>
  <c r="S6" i="1"/>
  <c r="T6" i="1"/>
  <c r="V6" i="1"/>
  <c r="R6" i="1"/>
  <c r="W6" i="1"/>
  <c r="X6" i="1"/>
  <c r="Y6" i="1"/>
  <c r="Z6" i="1"/>
  <c r="AA6" i="1"/>
  <c r="AB6" i="1"/>
  <c r="S7" i="1"/>
  <c r="T7" i="1"/>
  <c r="R7" i="1"/>
  <c r="W7" i="1"/>
  <c r="X7" i="1"/>
  <c r="Y7" i="1"/>
  <c r="Z7" i="1"/>
  <c r="AA7" i="1"/>
  <c r="AB7" i="1"/>
  <c r="S8" i="1"/>
  <c r="T8" i="1"/>
  <c r="V8" i="1"/>
  <c r="W8" i="1"/>
  <c r="X8" i="1"/>
  <c r="Y8" i="1"/>
  <c r="Z8" i="1"/>
  <c r="AA8" i="1"/>
  <c r="AB8" i="1"/>
  <c r="S9" i="1"/>
  <c r="T9" i="1"/>
  <c r="V9" i="1"/>
  <c r="W9" i="1"/>
  <c r="X9" i="1"/>
  <c r="Y9" i="1"/>
  <c r="Z9" i="1"/>
  <c r="AA9" i="1"/>
  <c r="AB9" i="1"/>
  <c r="S10" i="1"/>
  <c r="T10" i="1"/>
  <c r="V10" i="1"/>
  <c r="R10" i="1"/>
  <c r="W10" i="1"/>
  <c r="X10" i="1"/>
  <c r="Y10" i="1"/>
  <c r="Z10" i="1"/>
  <c r="AA10" i="1"/>
  <c r="AB10" i="1"/>
  <c r="S11" i="1"/>
  <c r="T11" i="1"/>
  <c r="V11" i="1"/>
  <c r="W11" i="1"/>
  <c r="X11" i="1"/>
  <c r="Y11" i="1"/>
  <c r="Z11" i="1"/>
  <c r="AA11" i="1"/>
  <c r="AB11" i="1"/>
  <c r="E4" i="2"/>
  <c r="F4" i="2"/>
  <c r="M4" i="2"/>
  <c r="M6" i="2"/>
  <c r="N8" i="2"/>
  <c r="M11" i="2"/>
  <c r="N14" i="2"/>
  <c r="N16" i="2"/>
  <c r="M18" i="2"/>
  <c r="N21" i="2"/>
  <c r="M24" i="2"/>
  <c r="M26" i="2"/>
  <c r="N28" i="2"/>
  <c r="M31" i="2"/>
  <c r="Z6" i="2"/>
  <c r="N4" i="2"/>
  <c r="M7" i="2"/>
  <c r="N9" i="2"/>
  <c r="N12" i="2"/>
  <c r="M14" i="2"/>
  <c r="N17" i="2"/>
  <c r="M19" i="2"/>
  <c r="M22" i="2"/>
  <c r="N24" i="2"/>
  <c r="M27" i="2"/>
  <c r="N29" i="2"/>
  <c r="N32" i="2"/>
  <c r="Z8" i="2"/>
  <c r="E5" i="2"/>
  <c r="F7" i="2"/>
  <c r="F11" i="2"/>
  <c r="E13" i="2"/>
  <c r="F15" i="2"/>
  <c r="E17" i="2"/>
  <c r="E21" i="2"/>
  <c r="F23" i="2"/>
  <c r="E25" i="2"/>
  <c r="F27" i="2"/>
  <c r="F31" i="2"/>
  <c r="E33" i="2"/>
  <c r="S4" i="2"/>
  <c r="W4" i="2"/>
  <c r="F5" i="2"/>
  <c r="E7" i="2"/>
  <c r="F9" i="2"/>
  <c r="F12" i="2"/>
  <c r="E14" i="2"/>
  <c r="F17" i="2"/>
  <c r="E19" i="2"/>
  <c r="E22" i="2"/>
  <c r="F24" i="2"/>
  <c r="E27" i="2"/>
  <c r="F29" i="2"/>
  <c r="F32" i="2"/>
  <c r="W8" i="2"/>
  <c r="E11" i="2"/>
  <c r="E6" i="2"/>
  <c r="F8" i="2"/>
  <c r="F14" i="2"/>
  <c r="F16" i="2"/>
  <c r="E18" i="2"/>
  <c r="F21" i="2"/>
  <c r="E24" i="2"/>
  <c r="E26" i="2"/>
  <c r="F28" i="2"/>
  <c r="E31" i="2"/>
  <c r="S6" i="2"/>
  <c r="F13" i="2"/>
  <c r="E15" i="2"/>
  <c r="E23" i="2"/>
  <c r="F25" i="2"/>
  <c r="F33" i="2"/>
  <c r="M5" i="2"/>
  <c r="N10" i="2"/>
  <c r="N15" i="2"/>
  <c r="M20" i="2"/>
  <c r="M25" i="2"/>
  <c r="N30" i="2"/>
  <c r="AA7" i="2"/>
  <c r="AB7" i="2"/>
  <c r="N7" i="2"/>
  <c r="N11" i="2"/>
  <c r="M13" i="2"/>
  <c r="M17" i="2"/>
  <c r="M21" i="2"/>
  <c r="N23" i="2"/>
  <c r="N27" i="2"/>
  <c r="N31" i="2"/>
  <c r="M33" i="2"/>
  <c r="Z4" i="2"/>
  <c r="N5" i="2"/>
  <c r="F6" i="2"/>
  <c r="E9" i="2"/>
  <c r="F10" i="2"/>
  <c r="E10" i="2"/>
  <c r="E16" i="2"/>
  <c r="F19" i="2"/>
  <c r="E20" i="2"/>
  <c r="F20" i="2"/>
  <c r="F26" i="2"/>
  <c r="E29" i="2"/>
  <c r="F30" i="2"/>
  <c r="E30" i="2"/>
  <c r="T5" i="2"/>
  <c r="X5" i="2"/>
  <c r="Y5" i="2"/>
  <c r="S5" i="2"/>
  <c r="M10" i="2"/>
  <c r="N20" i="2"/>
  <c r="M30" i="2"/>
  <c r="AA5" i="2"/>
  <c r="AB5" i="2"/>
  <c r="N6" i="2"/>
  <c r="M9" i="2"/>
  <c r="N13" i="2"/>
  <c r="M16" i="2"/>
  <c r="N19" i="2"/>
  <c r="M23" i="2"/>
  <c r="N26" i="2"/>
  <c r="M29" i="2"/>
  <c r="N33" i="2"/>
  <c r="Z5" i="2"/>
  <c r="M15" i="2"/>
  <c r="N25" i="2"/>
  <c r="AA4" i="2"/>
  <c r="AB4" i="2"/>
  <c r="E8" i="2"/>
  <c r="E12" i="2"/>
  <c r="F18" i="2"/>
  <c r="F22" i="2"/>
  <c r="E28" i="2"/>
  <c r="E32" i="2"/>
  <c r="T7" i="2"/>
  <c r="S8" i="2"/>
  <c r="X6" i="2"/>
  <c r="Y6" i="2"/>
  <c r="X7" i="2"/>
  <c r="Y7" i="2"/>
  <c r="M8" i="2"/>
  <c r="M12" i="2"/>
  <c r="N18" i="2"/>
  <c r="N22" i="2"/>
  <c r="M28" i="2"/>
  <c r="M32" i="2"/>
  <c r="Z7" i="2"/>
  <c r="X8" i="2"/>
  <c r="Y8" i="2"/>
  <c r="AA8" i="2"/>
  <c r="AB8" i="2"/>
  <c r="W7" i="2"/>
  <c r="W6" i="2"/>
  <c r="W5" i="2"/>
  <c r="T4" i="2"/>
  <c r="R9" i="1"/>
  <c r="R8" i="1"/>
  <c r="R5" i="1"/>
  <c r="R4" i="1"/>
  <c r="R4" i="2"/>
  <c r="V4" i="2"/>
  <c r="V5" i="2"/>
  <c r="R5" i="2"/>
  <c r="S7" i="2"/>
  <c r="R11" i="1"/>
  <c r="AA6" i="2"/>
  <c r="AB6" i="2"/>
  <c r="X4" i="2"/>
  <c r="Y4" i="2"/>
  <c r="V7" i="1"/>
  <c r="T8" i="2"/>
  <c r="R8" i="2"/>
  <c r="T6" i="2"/>
  <c r="V6" i="2"/>
  <c r="V8" i="2"/>
  <c r="R6" i="2"/>
  <c r="V7" i="2"/>
  <c r="R7" i="2"/>
  <c r="AC7" i="15"/>
  <c r="AC11" i="15"/>
  <c r="W13" i="15"/>
  <c r="W4" i="15"/>
  <c r="W6" i="17"/>
  <c r="V4" i="16"/>
  <c r="V5" i="16"/>
  <c r="AF4" i="14"/>
  <c r="W4" i="14"/>
  <c r="V5" i="14"/>
  <c r="V4" i="14"/>
  <c r="W6" i="14"/>
  <c r="V6" i="14"/>
  <c r="AC6" i="14"/>
  <c r="W4" i="13"/>
  <c r="AF12" i="13"/>
  <c r="AC15" i="13"/>
  <c r="AF15" i="13"/>
  <c r="AC14" i="13"/>
  <c r="V14" i="13"/>
  <c r="W15" i="13"/>
  <c r="AC5" i="13"/>
  <c r="AC6" i="13"/>
  <c r="V6" i="13"/>
  <c r="W6" i="13"/>
  <c r="W14" i="13"/>
  <c r="AC13" i="13"/>
  <c r="AF5" i="14"/>
  <c r="AF6" i="14"/>
  <c r="AF14" i="13"/>
  <c r="W12" i="13"/>
  <c r="AC12" i="13"/>
  <c r="AF7" i="13"/>
  <c r="AF5" i="13"/>
  <c r="W7" i="13"/>
  <c r="V7" i="13"/>
  <c r="V5" i="13"/>
  <c r="AF4" i="13"/>
  <c r="AF6" i="13"/>
  <c r="AF13" i="13"/>
  <c r="V12" i="13"/>
  <c r="V13" i="13"/>
  <c r="AD4" i="15"/>
  <c r="AD13" i="15"/>
  <c r="W7" i="15"/>
  <c r="V7" i="15"/>
  <c r="AE8" i="15"/>
  <c r="W9" i="15"/>
  <c r="AC9" i="15"/>
  <c r="V9" i="15"/>
  <c r="AE7" i="15"/>
  <c r="AC8" i="21"/>
  <c r="AC4" i="21"/>
  <c r="AE4" i="19"/>
  <c r="AD4" i="19"/>
  <c r="W8" i="21"/>
  <c r="AE6" i="21"/>
  <c r="AD6" i="21"/>
  <c r="AD5" i="20"/>
  <c r="AE4" i="20"/>
  <c r="AE5" i="20"/>
  <c r="AD4" i="20"/>
  <c r="AD7" i="23"/>
  <c r="W7" i="23"/>
  <c r="AE6" i="23"/>
  <c r="AD5" i="23"/>
  <c r="AD6" i="23"/>
  <c r="W6" i="23"/>
  <c r="W7" i="21"/>
  <c r="W5" i="21"/>
  <c r="AC7" i="21"/>
  <c r="AE4" i="21"/>
  <c r="AD4" i="21"/>
  <c r="AC8" i="23"/>
  <c r="AE5" i="23"/>
  <c r="V5" i="23"/>
  <c r="AE7" i="21"/>
  <c r="AD7" i="21"/>
  <c r="W4" i="21"/>
  <c r="V4" i="21"/>
  <c r="V7" i="21"/>
  <c r="AE4" i="23"/>
  <c r="AD4" i="23"/>
  <c r="AD8" i="23"/>
  <c r="AE8" i="23"/>
  <c r="V8" i="23"/>
  <c r="W4" i="23"/>
  <c r="V6" i="23"/>
  <c r="AE5" i="21"/>
  <c r="AD5" i="21"/>
  <c r="AC6" i="21"/>
  <c r="V6" i="21"/>
  <c r="AD8" i="21"/>
  <c r="AE8" i="21"/>
  <c r="V5" i="21"/>
  <c r="V8" i="21"/>
  <c r="AE6" i="17"/>
  <c r="AD5" i="17"/>
  <c r="AD6" i="17"/>
  <c r="AE5" i="17"/>
  <c r="AD7" i="17"/>
  <c r="AE4" i="17"/>
  <c r="AE7" i="17"/>
  <c r="AD4" i="17"/>
  <c r="AE7" i="23"/>
  <c r="V7" i="23"/>
  <c r="V4" i="23"/>
  <c r="AD5" i="15"/>
  <c r="V6" i="15"/>
  <c r="V5" i="15"/>
  <c r="AE10" i="15"/>
  <c r="AD10" i="15"/>
  <c r="AC10" i="15"/>
  <c r="AD6" i="20"/>
  <c r="AE7" i="20"/>
  <c r="AE6" i="20"/>
  <c r="AD7" i="20"/>
  <c r="V4" i="17"/>
  <c r="V5" i="17"/>
  <c r="V7" i="17"/>
  <c r="W5" i="17"/>
  <c r="V6" i="17"/>
  <c r="AC5" i="17"/>
  <c r="V12" i="15"/>
  <c r="V10" i="15"/>
  <c r="AE12" i="15"/>
  <c r="AD6" i="15"/>
  <c r="AF6" i="15"/>
  <c r="AD9" i="15"/>
  <c r="AE11" i="15"/>
  <c r="AD11" i="15"/>
  <c r="AC4" i="17"/>
  <c r="AF4" i="15"/>
  <c r="AC7" i="17"/>
  <c r="AE13" i="15"/>
  <c r="AF13" i="15"/>
  <c r="W4" i="17"/>
  <c r="AE9" i="15"/>
  <c r="AD12" i="15"/>
  <c r="AE5" i="15"/>
  <c r="AF5" i="15"/>
  <c r="AC5" i="15"/>
  <c r="W12" i="15"/>
  <c r="W5" i="15"/>
  <c r="AD8" i="15"/>
  <c r="AF8" i="15"/>
  <c r="V13" i="15"/>
  <c r="W8" i="15"/>
  <c r="V8" i="15"/>
  <c r="AF4" i="19"/>
  <c r="AF6" i="21"/>
  <c r="AF5" i="20"/>
  <c r="AF4" i="20"/>
  <c r="AF7" i="23"/>
  <c r="AF5" i="23"/>
  <c r="AF6" i="23"/>
  <c r="AF4" i="21"/>
  <c r="AF7" i="21"/>
  <c r="AF4" i="23"/>
  <c r="AF8" i="23"/>
  <c r="AF5" i="21"/>
  <c r="AF8" i="21"/>
  <c r="AF11" i="15"/>
  <c r="AF10" i="15"/>
  <c r="AF6" i="20"/>
  <c r="AF7" i="20"/>
  <c r="AF5" i="17"/>
  <c r="AF4" i="17"/>
  <c r="AF7" i="17"/>
  <c r="AF9" i="15"/>
  <c r="AF12" i="15"/>
  <c r="AF6" i="17"/>
  <c r="AC4" i="20"/>
</calcChain>
</file>

<file path=xl/sharedStrings.xml><?xml version="1.0" encoding="utf-8"?>
<sst xmlns="http://schemas.openxmlformats.org/spreadsheetml/2006/main" count="2311" uniqueCount="426">
  <si>
    <t>Opponents</t>
  </si>
  <si>
    <t>Ranking</t>
  </si>
  <si>
    <t>Matches</t>
  </si>
  <si>
    <t>Points</t>
  </si>
  <si>
    <t>Sets</t>
  </si>
  <si>
    <t>Game</t>
  </si>
  <si>
    <t>Category</t>
  </si>
  <si>
    <t>Home Team</t>
  </si>
  <si>
    <t>Away Team</t>
  </si>
  <si>
    <t>Total</t>
  </si>
  <si>
    <t>#</t>
  </si>
  <si>
    <t>Team</t>
  </si>
  <si>
    <t>Won</t>
  </si>
  <si>
    <t>Lost</t>
  </si>
  <si>
    <t>W/O</t>
  </si>
  <si>
    <t>.</t>
  </si>
  <si>
    <t>Ratio</t>
  </si>
  <si>
    <t>WM-01</t>
  </si>
  <si>
    <t>Mini Volley Girls</t>
  </si>
  <si>
    <t>WM-02</t>
  </si>
  <si>
    <t>WM-03</t>
  </si>
  <si>
    <t>WM-04</t>
  </si>
  <si>
    <t>WM-05</t>
  </si>
  <si>
    <t>WM-06</t>
  </si>
  <si>
    <t>WM-07</t>
  </si>
  <si>
    <t>WM-08</t>
  </si>
  <si>
    <t>WM-09</t>
  </si>
  <si>
    <t>WM-10</t>
  </si>
  <si>
    <t>WM-11</t>
  </si>
  <si>
    <t>WM-12</t>
  </si>
  <si>
    <t>WM-13</t>
  </si>
  <si>
    <t>WM-14</t>
  </si>
  <si>
    <t>Final Ranking</t>
  </si>
  <si>
    <t>WM-15</t>
  </si>
  <si>
    <t>WM-16</t>
  </si>
  <si>
    <t>WM-17</t>
  </si>
  <si>
    <t>WM-18</t>
  </si>
  <si>
    <t>WM-19</t>
  </si>
  <si>
    <t>WM-20</t>
  </si>
  <si>
    <t>WM-21</t>
  </si>
  <si>
    <t>WM-22</t>
  </si>
  <si>
    <t>WM-23</t>
  </si>
  <si>
    <t>WM-24</t>
  </si>
  <si>
    <t>WM-25</t>
  </si>
  <si>
    <t>WM-26</t>
  </si>
  <si>
    <t>WM-27</t>
  </si>
  <si>
    <t>WM-28</t>
  </si>
  <si>
    <t>WM-29</t>
  </si>
  <si>
    <t>WM-30</t>
  </si>
  <si>
    <t>WM-31</t>
  </si>
  <si>
    <t>WM-32</t>
  </si>
  <si>
    <t>WM-33</t>
  </si>
  <si>
    <t>WM-34</t>
  </si>
  <si>
    <t>WM-35</t>
  </si>
  <si>
    <t>WM-36</t>
  </si>
  <si>
    <t>WM-37</t>
  </si>
  <si>
    <t>WM-38</t>
  </si>
  <si>
    <t>WM-39</t>
  </si>
  <si>
    <t>WM-40</t>
  </si>
  <si>
    <t>WM-41</t>
  </si>
  <si>
    <t>WM-42</t>
  </si>
  <si>
    <t>WM-43</t>
  </si>
  <si>
    <t>WM-44</t>
  </si>
  <si>
    <t>WM-45</t>
  </si>
  <si>
    <t>WM-46</t>
  </si>
  <si>
    <t>WM-47</t>
  </si>
  <si>
    <t>WM-48</t>
  </si>
  <si>
    <t>WM-49</t>
  </si>
  <si>
    <t>WM-50</t>
  </si>
  <si>
    <t>WM-51</t>
  </si>
  <si>
    <t>WM-52</t>
  </si>
  <si>
    <t>WM-53</t>
  </si>
  <si>
    <t>WM-54</t>
  </si>
  <si>
    <t>WM-55</t>
  </si>
  <si>
    <t>WM-56</t>
  </si>
  <si>
    <t>WM-57</t>
  </si>
  <si>
    <t>WM-58</t>
  </si>
  <si>
    <t>WM-59</t>
  </si>
  <si>
    <t>WY-01</t>
  </si>
  <si>
    <t>U13 Girls</t>
  </si>
  <si>
    <t>WY-02</t>
  </si>
  <si>
    <t>WY-03</t>
  </si>
  <si>
    <t>WY-04</t>
  </si>
  <si>
    <t>WY-05</t>
  </si>
  <si>
    <t>WY-06</t>
  </si>
  <si>
    <t>WY-07</t>
  </si>
  <si>
    <t>WY-08</t>
  </si>
  <si>
    <t>WY-09</t>
  </si>
  <si>
    <t>WY-10</t>
  </si>
  <si>
    <t>WY-11</t>
  </si>
  <si>
    <t>WY-12</t>
  </si>
  <si>
    <t>WY-13</t>
  </si>
  <si>
    <t>WY-14</t>
  </si>
  <si>
    <t>Walk-Over</t>
  </si>
  <si>
    <t>WY-15</t>
  </si>
  <si>
    <t>WY-16</t>
  </si>
  <si>
    <t>WY-17</t>
  </si>
  <si>
    <t>WY-18</t>
  </si>
  <si>
    <t>WY-19</t>
  </si>
  <si>
    <t>WY-20</t>
  </si>
  <si>
    <t>WY-21</t>
  </si>
  <si>
    <t>WY-22</t>
  </si>
  <si>
    <t>WY-23</t>
  </si>
  <si>
    <t>WY-24</t>
  </si>
  <si>
    <t>WY-25</t>
  </si>
  <si>
    <t>WY-26</t>
  </si>
  <si>
    <t>WY-27</t>
  </si>
  <si>
    <t>WY-28</t>
  </si>
  <si>
    <t>WY-29</t>
  </si>
  <si>
    <t>WY-30</t>
  </si>
  <si>
    <t>http://www.maltavolleyball.org/</t>
  </si>
  <si>
    <t>FIXTURES 2015/6</t>
  </si>
  <si>
    <t>(Note: MVA will make it's best to keep to the scheduled dates and time, but fixtures are subject to change due to unforeseen circumstances)</t>
  </si>
  <si>
    <t>Date</t>
  </si>
  <si>
    <t>Time</t>
  </si>
  <si>
    <t>Venue</t>
  </si>
  <si>
    <t>Result</t>
  </si>
  <si>
    <t>SEPTEMBER</t>
  </si>
  <si>
    <t>Thursday</t>
  </si>
  <si>
    <t>20:00</t>
  </si>
  <si>
    <t>Cottonera</t>
  </si>
  <si>
    <t>Saturday</t>
  </si>
  <si>
    <t>St Martins</t>
  </si>
  <si>
    <t>Refeering Course</t>
  </si>
  <si>
    <t>Sunday</t>
  </si>
  <si>
    <t>Ghadira</t>
  </si>
  <si>
    <t>Beach Volleyball Mixed Tournament</t>
  </si>
  <si>
    <t>Tuesday</t>
  </si>
  <si>
    <t>KMS Activity</t>
  </si>
  <si>
    <t>13:30</t>
  </si>
  <si>
    <t>15:30</t>
  </si>
  <si>
    <t>Social League</t>
  </si>
  <si>
    <t xml:space="preserve"> Postponed</t>
  </si>
  <si>
    <t>17:30</t>
  </si>
  <si>
    <t>OCTOBER</t>
  </si>
  <si>
    <t>14:00</t>
  </si>
  <si>
    <t>16:00</t>
  </si>
  <si>
    <t>15:00</t>
  </si>
  <si>
    <t>17:00</t>
  </si>
  <si>
    <t>Postponed</t>
  </si>
  <si>
    <t>11:30</t>
  </si>
  <si>
    <t>13:00</t>
  </si>
  <si>
    <t>November</t>
  </si>
  <si>
    <t>December</t>
  </si>
  <si>
    <t xml:space="preserve">Saturday </t>
  </si>
  <si>
    <t>Christmas Party</t>
  </si>
  <si>
    <t>Christmas Break</t>
  </si>
  <si>
    <t>AllStars Games</t>
  </si>
  <si>
    <t>January</t>
  </si>
  <si>
    <t>PAOLA</t>
  </si>
  <si>
    <t>FLEUR DE LYS TWISTEES</t>
  </si>
  <si>
    <t>Next Game</t>
  </si>
  <si>
    <t>ALOYSIANS</t>
  </si>
  <si>
    <t>MGARR</t>
  </si>
  <si>
    <t>12:00</t>
  </si>
  <si>
    <t>February</t>
  </si>
  <si>
    <t>March</t>
  </si>
  <si>
    <t>Easter Break</t>
  </si>
  <si>
    <t>(If Needed)</t>
  </si>
  <si>
    <t>(IF Needed)</t>
  </si>
  <si>
    <t>Quarter Final</t>
  </si>
  <si>
    <t>Ranking Group 1</t>
  </si>
  <si>
    <t>Results Breakdown</t>
  </si>
  <si>
    <t>3-0</t>
  </si>
  <si>
    <t>3-1</t>
  </si>
  <si>
    <t>3-2</t>
  </si>
  <si>
    <t>2-3</t>
  </si>
  <si>
    <t>1-3</t>
  </si>
  <si>
    <t>0-3</t>
  </si>
  <si>
    <t>JBTW-01</t>
  </si>
  <si>
    <t>1st Round</t>
  </si>
  <si>
    <t>FLYERS</t>
  </si>
  <si>
    <t>SLIEMA WANDERERS</t>
  </si>
  <si>
    <t>JBTW-02</t>
  </si>
  <si>
    <t>SWIEQI PHOENIX</t>
  </si>
  <si>
    <t>JBTW-03</t>
  </si>
  <si>
    <t>JBTW-04</t>
  </si>
  <si>
    <t>MELLIEHA</t>
  </si>
  <si>
    <t>JBTW-05</t>
  </si>
  <si>
    <t>FLYERS 2</t>
  </si>
  <si>
    <t>JBTW-06</t>
  </si>
  <si>
    <t>JBTW-07</t>
  </si>
  <si>
    <t>Ranking Group 2</t>
  </si>
  <si>
    <t>JBTW-08</t>
  </si>
  <si>
    <t>JBTW-09</t>
  </si>
  <si>
    <t>FLEUR-DE-LYS TWISTEES</t>
  </si>
  <si>
    <t>JBTW-10</t>
  </si>
  <si>
    <t>JBTW-11</t>
  </si>
  <si>
    <t>JBTW-12</t>
  </si>
  <si>
    <t>JBTW-13</t>
  </si>
  <si>
    <t>Semi-Final 1</t>
  </si>
  <si>
    <t>JBTW-14</t>
  </si>
  <si>
    <t>Semi-Final 2</t>
  </si>
  <si>
    <t>JBTW-15</t>
  </si>
  <si>
    <t>Final 3/4</t>
  </si>
  <si>
    <t>JBTW-16</t>
  </si>
  <si>
    <t>Final 1/2</t>
  </si>
  <si>
    <t>JBTM-01</t>
  </si>
  <si>
    <t>VALLETTA MAPEI</t>
  </si>
  <si>
    <t>JBTM-02</t>
  </si>
  <si>
    <t>JBTM-03</t>
  </si>
  <si>
    <t>JBTM-04</t>
  </si>
  <si>
    <t>Final</t>
  </si>
  <si>
    <t>SCW-01</t>
  </si>
  <si>
    <t>WL-01</t>
  </si>
  <si>
    <t>PLAYVOLLEY GENERAL MEMBRANE</t>
  </si>
  <si>
    <t>MELLIEHA TRITONES</t>
  </si>
  <si>
    <t>BIRKIRKARA</t>
  </si>
  <si>
    <t>WL-02</t>
  </si>
  <si>
    <t>BALZAN FLYERS</t>
  </si>
  <si>
    <t>WL-03</t>
  </si>
  <si>
    <t>WL-04</t>
  </si>
  <si>
    <t>BALZAN FLYERS 2</t>
  </si>
  <si>
    <t>WL-05</t>
  </si>
  <si>
    <t>WL-06</t>
  </si>
  <si>
    <t>WL-07</t>
  </si>
  <si>
    <t>WL-08</t>
  </si>
  <si>
    <t>WL-09</t>
  </si>
  <si>
    <t>WL-10</t>
  </si>
  <si>
    <t>WL-11</t>
  </si>
  <si>
    <t>WL-12</t>
  </si>
  <si>
    <t>WL-13</t>
  </si>
  <si>
    <t>WL-14</t>
  </si>
  <si>
    <t>WL-15</t>
  </si>
  <si>
    <t>WL-16</t>
  </si>
  <si>
    <t>WL-17</t>
  </si>
  <si>
    <t>WL-18</t>
  </si>
  <si>
    <t>WL-19</t>
  </si>
  <si>
    <t>WL-20</t>
  </si>
  <si>
    <t>WL-21</t>
  </si>
  <si>
    <t>WL-22</t>
  </si>
  <si>
    <t>WL-23</t>
  </si>
  <si>
    <t>WL-24</t>
  </si>
  <si>
    <t>WL-25</t>
  </si>
  <si>
    <t>WL-26</t>
  </si>
  <si>
    <t>WL-27</t>
  </si>
  <si>
    <t>WL-28</t>
  </si>
  <si>
    <t>WL-29</t>
  </si>
  <si>
    <t>WL-30</t>
  </si>
  <si>
    <t>WL-31</t>
  </si>
  <si>
    <t>WL-32</t>
  </si>
  <si>
    <t>WL-33</t>
  </si>
  <si>
    <t>WL-34</t>
  </si>
  <si>
    <t>WL-35</t>
  </si>
  <si>
    <t>WL-36</t>
  </si>
  <si>
    <t>WL-37</t>
  </si>
  <si>
    <t>WL-38</t>
  </si>
  <si>
    <t>WL-39</t>
  </si>
  <si>
    <t>WL-40</t>
  </si>
  <si>
    <t>WL-41</t>
  </si>
  <si>
    <t>WL-42</t>
  </si>
  <si>
    <t>WL-43</t>
  </si>
  <si>
    <t>WL-44</t>
  </si>
  <si>
    <t>WL-45</t>
  </si>
  <si>
    <t>WSL-01</t>
  </si>
  <si>
    <t>WSL-02</t>
  </si>
  <si>
    <t>WSL-03</t>
  </si>
  <si>
    <t>WSL-04</t>
  </si>
  <si>
    <t>WSL-05</t>
  </si>
  <si>
    <t>WSL-06</t>
  </si>
  <si>
    <t>WSL-07</t>
  </si>
  <si>
    <t>WSL-08</t>
  </si>
  <si>
    <t>WSL-09</t>
  </si>
  <si>
    <t>WSL-10</t>
  </si>
  <si>
    <t>WSL-11</t>
  </si>
  <si>
    <t>2nd Round</t>
  </si>
  <si>
    <t>WSL-12</t>
  </si>
  <si>
    <t>WSL-13</t>
  </si>
  <si>
    <t>WSL-14</t>
  </si>
  <si>
    <t>WSL-15</t>
  </si>
  <si>
    <t>WSL-16</t>
  </si>
  <si>
    <t>WSL-17</t>
  </si>
  <si>
    <t>WSL-18</t>
  </si>
  <si>
    <t>WSL-19</t>
  </si>
  <si>
    <t>WSL-20</t>
  </si>
  <si>
    <t>W1L-01</t>
  </si>
  <si>
    <t>W1L-02</t>
  </si>
  <si>
    <t>W1L-03</t>
  </si>
  <si>
    <t>W1L-04</t>
  </si>
  <si>
    <t>W1L-05</t>
  </si>
  <si>
    <t>W1L-06</t>
  </si>
  <si>
    <t>W1L-07</t>
  </si>
  <si>
    <t>W1L-08</t>
  </si>
  <si>
    <t>W1L-09</t>
  </si>
  <si>
    <t>W1L-10</t>
  </si>
  <si>
    <t>W1L-11</t>
  </si>
  <si>
    <t>W1L-12</t>
  </si>
  <si>
    <t>W1L-13</t>
  </si>
  <si>
    <t>W1L-14</t>
  </si>
  <si>
    <t>W1L-15</t>
  </si>
  <si>
    <t>W1L-16</t>
  </si>
  <si>
    <t>W1L-17</t>
  </si>
  <si>
    <t>W1L-18</t>
  </si>
  <si>
    <t>W1L-19</t>
  </si>
  <si>
    <t>W1L-20</t>
  </si>
  <si>
    <t>ML-01</t>
  </si>
  <si>
    <t>ML-02</t>
  </si>
  <si>
    <t>ML-03</t>
  </si>
  <si>
    <t>ML-04</t>
  </si>
  <si>
    <t>ML-05</t>
  </si>
  <si>
    <t>ML-06</t>
  </si>
  <si>
    <t>ML-07</t>
  </si>
  <si>
    <t>ML-08</t>
  </si>
  <si>
    <t>ML-09</t>
  </si>
  <si>
    <t>ML-10</t>
  </si>
  <si>
    <t>ML-11</t>
  </si>
  <si>
    <t>ML-12</t>
  </si>
  <si>
    <t>ML-13</t>
  </si>
  <si>
    <t>3rd Round</t>
  </si>
  <si>
    <t>ML-14</t>
  </si>
  <si>
    <t>ML-15</t>
  </si>
  <si>
    <t>ML-16</t>
  </si>
  <si>
    <t>ML-17</t>
  </si>
  <si>
    <t>ML-18</t>
  </si>
  <si>
    <t>ML-19</t>
  </si>
  <si>
    <t>PlayOffs</t>
  </si>
  <si>
    <t>ML-20</t>
  </si>
  <si>
    <t>ML-21</t>
  </si>
  <si>
    <t>ML-22</t>
  </si>
  <si>
    <t>ML-23</t>
  </si>
  <si>
    <t>ML-24</t>
  </si>
  <si>
    <t>ML-25</t>
  </si>
  <si>
    <t>ML-26</t>
  </si>
  <si>
    <t>ML-27</t>
  </si>
  <si>
    <t>ML-28</t>
  </si>
  <si>
    <t>WU18L-01</t>
  </si>
  <si>
    <t>WU18L-02</t>
  </si>
  <si>
    <t>WU18L-03</t>
  </si>
  <si>
    <t>WU18L-04</t>
  </si>
  <si>
    <t>WU18L-05</t>
  </si>
  <si>
    <t>WU18L-06</t>
  </si>
  <si>
    <t>WU18L-07</t>
  </si>
  <si>
    <t>WU18L-08</t>
  </si>
  <si>
    <t>WU18L-09</t>
  </si>
  <si>
    <t>WU18L-10</t>
  </si>
  <si>
    <t>4th Round</t>
  </si>
  <si>
    <t>WU18L-11</t>
  </si>
  <si>
    <t>WU18L-12</t>
  </si>
  <si>
    <t>WU16L-01</t>
  </si>
  <si>
    <t>WU16L-02</t>
  </si>
  <si>
    <t>WU16L-03</t>
  </si>
  <si>
    <t>WU16L-04</t>
  </si>
  <si>
    <t>WU16L-05</t>
  </si>
  <si>
    <t>WU16L-06</t>
  </si>
  <si>
    <t>WU16L-07</t>
  </si>
  <si>
    <t>WU16L-08</t>
  </si>
  <si>
    <t>WU16L-09</t>
  </si>
  <si>
    <t>WU16L-10</t>
  </si>
  <si>
    <t>WU16L-11</t>
  </si>
  <si>
    <t>WU16L-12</t>
  </si>
  <si>
    <t>WU16L-13</t>
  </si>
  <si>
    <t>WU16L-14</t>
  </si>
  <si>
    <t>WU16L-15</t>
  </si>
  <si>
    <t>WU16L-16</t>
  </si>
  <si>
    <t>WU16L-17</t>
  </si>
  <si>
    <t>WU16L-18</t>
  </si>
  <si>
    <t>CCL-01</t>
  </si>
  <si>
    <t>CCL-02</t>
  </si>
  <si>
    <t>CCL-03</t>
  </si>
  <si>
    <t>CCL-04</t>
  </si>
  <si>
    <t>Winner</t>
  </si>
  <si>
    <t>CCM-01</t>
  </si>
  <si>
    <t>CCM-02</t>
  </si>
  <si>
    <t>CCM-03</t>
  </si>
  <si>
    <t>CCM-04</t>
  </si>
  <si>
    <t>VALLETTA</t>
  </si>
  <si>
    <t>Kordin</t>
  </si>
  <si>
    <t xml:space="preserve"> </t>
  </si>
  <si>
    <t>BALZAN FLYERS CROSSCRAFT 2</t>
  </si>
  <si>
    <t>BALZAN FLYERS CROSSCRAFT</t>
  </si>
  <si>
    <t>WU14L-01</t>
  </si>
  <si>
    <t>WU14L-02</t>
  </si>
  <si>
    <t>WU14L-03</t>
  </si>
  <si>
    <t>WU14L-04</t>
  </si>
  <si>
    <t>WU14L-05</t>
  </si>
  <si>
    <t>WU14L-06</t>
  </si>
  <si>
    <t>WU14L-07</t>
  </si>
  <si>
    <t>WU14L-08</t>
  </si>
  <si>
    <t>WU14L-09</t>
  </si>
  <si>
    <t>WU14L-10</t>
  </si>
  <si>
    <t>WU14L-11</t>
  </si>
  <si>
    <t>WU14L-12</t>
  </si>
  <si>
    <t>10:30</t>
  </si>
  <si>
    <t>2-0</t>
  </si>
  <si>
    <t>2-1</t>
  </si>
  <si>
    <t>1-2</t>
  </si>
  <si>
    <t>0-2</t>
  </si>
  <si>
    <t>12:30</t>
  </si>
  <si>
    <t>University</t>
  </si>
  <si>
    <t>18:00</t>
  </si>
  <si>
    <t>Play Off 1</t>
  </si>
  <si>
    <t>Play Off 2</t>
  </si>
  <si>
    <t>Play Off 3 (if Needed)</t>
  </si>
  <si>
    <t>( 3 - 1 )</t>
  </si>
  <si>
    <t>( 0 - 3 )</t>
  </si>
  <si>
    <t>( 2 - 3 )</t>
  </si>
  <si>
    <t>N</t>
  </si>
  <si>
    <t>A</t>
  </si>
  <si>
    <t>( 1 - 3 )</t>
  </si>
  <si>
    <t>Final 1 ( 0 - 3 )</t>
  </si>
  <si>
    <t>xxxxxxxxxxx</t>
  </si>
  <si>
    <t>WC-06</t>
  </si>
  <si>
    <t>WC-05</t>
  </si>
  <si>
    <t>WC-04</t>
  </si>
  <si>
    <t>WC-03</t>
  </si>
  <si>
    <t>WC-02</t>
  </si>
  <si>
    <t>WC-01</t>
  </si>
  <si>
    <t xml:space="preserve">PAOLA </t>
  </si>
  <si>
    <t>MC-01</t>
  </si>
  <si>
    <t>MC-02</t>
  </si>
  <si>
    <t>MC-03</t>
  </si>
  <si>
    <t>MC-04</t>
  </si>
  <si>
    <t>14:30</t>
  </si>
  <si>
    <t>Semi Final</t>
  </si>
  <si>
    <t>Final 1</t>
  </si>
  <si>
    <t>Final 2</t>
  </si>
  <si>
    <t>Final 3</t>
  </si>
  <si>
    <t xml:space="preserve"> Final 1</t>
  </si>
  <si>
    <t>Final 2 ( 1 - 3 )</t>
  </si>
  <si>
    <t>20:30</t>
  </si>
  <si>
    <t>St. Martin's</t>
  </si>
  <si>
    <t>Final 1 ( 3 - 1)</t>
  </si>
  <si>
    <t>Final 2 ( 3 - 1 )</t>
  </si>
  <si>
    <t>Final 1 ( 3 - 0 )</t>
  </si>
  <si>
    <t>Final 2 ( 3 - 0 )</t>
  </si>
  <si>
    <t>Last Update: 29/05/2016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</si>
</sst>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34998626667073579"/>
        <bgColor indexed="27"/>
      </patternFill>
    </fill>
    <fill>
      <patternFill patternType="solid">
        <fgColor theme="5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27"/>
      </patternFill>
    </fill>
    <fill>
      <patternFill patternType="solid">
        <fgColor theme="5" tint="-0.249977111117893"/>
        <bgColor indexed="27"/>
      </patternFill>
    </fill>
    <fill>
      <patternFill patternType="solid">
        <fgColor theme="8" tint="0.79998168889431442"/>
        <bgColor indexed="27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8" borderId="0" applyNumberFormat="0" applyBorder="0" applyAlignment="0" applyProtection="0"/>
    <xf numFmtId="0" fontId="1" fillId="0" borderId="0"/>
    <xf numFmtId="0" fontId="35" fillId="4" borderId="7" applyNumberFormat="0" applyAlignment="0" applyProtection="0"/>
    <xf numFmtId="0" fontId="15" fillId="2" borderId="8" applyNumberFormat="0" applyAlignment="0" applyProtection="0"/>
    <xf numFmtId="9" fontId="3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10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20" fillId="5" borderId="10" xfId="0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20" fillId="0" borderId="10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4" fillId="0" borderId="0" xfId="0" applyFont="1"/>
    <xf numFmtId="0" fontId="0" fillId="0" borderId="0" xfId="0" applyFont="1"/>
    <xf numFmtId="0" fontId="0" fillId="0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 wrapText="1"/>
    </xf>
    <xf numFmtId="0" fontId="20" fillId="0" borderId="12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20" fillId="0" borderId="12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20" fillId="0" borderId="13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20" fillId="0" borderId="13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>
      <alignment horizontal="center" wrapText="1"/>
    </xf>
    <xf numFmtId="0" fontId="20" fillId="5" borderId="11" xfId="0" applyFont="1" applyFill="1" applyBorder="1" applyAlignment="1">
      <alignment horizontal="center"/>
    </xf>
    <xf numFmtId="0" fontId="20" fillId="0" borderId="11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19" fillId="0" borderId="13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0" borderId="13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9" fillId="5" borderId="10" xfId="0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0" fillId="0" borderId="0" xfId="0" applyBorder="1"/>
    <xf numFmtId="0" fontId="22" fillId="0" borderId="0" xfId="0" applyFont="1" applyFill="1" applyAlignment="1">
      <alignment horizontal="center"/>
    </xf>
    <xf numFmtId="0" fontId="24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/>
    <xf numFmtId="0" fontId="0" fillId="0" borderId="17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2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0" fillId="0" borderId="0" xfId="0" applyFont="1" applyFill="1"/>
    <xf numFmtId="49" fontId="20" fillId="0" borderId="0" xfId="0" applyNumberFormat="1" applyFont="1" applyFill="1"/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right"/>
    </xf>
    <xf numFmtId="49" fontId="19" fillId="9" borderId="10" xfId="0" applyNumberFormat="1" applyFont="1" applyFill="1" applyBorder="1" applyAlignment="1">
      <alignment horizontal="center"/>
    </xf>
    <xf numFmtId="49" fontId="20" fillId="0" borderId="0" xfId="0" applyNumberFormat="1" applyFont="1" applyFill="1" applyBorder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right"/>
    </xf>
    <xf numFmtId="16" fontId="20" fillId="0" borderId="0" xfId="0" applyNumberFormat="1" applyFont="1" applyFill="1" applyBorder="1"/>
    <xf numFmtId="49" fontId="20" fillId="0" borderId="0" xfId="0" applyNumberFormat="1" applyFont="1" applyFill="1" applyBorder="1" applyAlignment="1">
      <alignment horizontal="left"/>
    </xf>
    <xf numFmtId="0" fontId="20" fillId="17" borderId="10" xfId="0" applyFont="1" applyFill="1" applyBorder="1"/>
    <xf numFmtId="16" fontId="20" fillId="17" borderId="14" xfId="0" applyNumberFormat="1" applyFont="1" applyFill="1" applyBorder="1"/>
    <xf numFmtId="49" fontId="20" fillId="17" borderId="10" xfId="0" applyNumberFormat="1" applyFont="1" applyFill="1" applyBorder="1" applyAlignment="1">
      <alignment horizontal="left"/>
    </xf>
    <xf numFmtId="0" fontId="20" fillId="17" borderId="10" xfId="0" applyFont="1" applyFill="1" applyBorder="1" applyAlignment="1">
      <alignment horizontal="center"/>
    </xf>
    <xf numFmtId="0" fontId="20" fillId="17" borderId="0" xfId="0" applyFont="1" applyFill="1" applyBorder="1"/>
    <xf numFmtId="16" fontId="20" fillId="17" borderId="0" xfId="0" applyNumberFormat="1" applyFont="1" applyFill="1" applyBorder="1"/>
    <xf numFmtId="49" fontId="20" fillId="17" borderId="0" xfId="0" applyNumberFormat="1" applyFont="1" applyFill="1" applyBorder="1" applyAlignment="1">
      <alignment horizontal="left"/>
    </xf>
    <xf numFmtId="0" fontId="20" fillId="17" borderId="0" xfId="0" applyFont="1" applyFill="1" applyBorder="1" applyAlignment="1">
      <alignment horizontal="center"/>
    </xf>
    <xf numFmtId="0" fontId="19" fillId="17" borderId="0" xfId="0" applyFont="1" applyFill="1" applyBorder="1" applyAlignment="1">
      <alignment horizontal="center"/>
    </xf>
    <xf numFmtId="49" fontId="20" fillId="17" borderId="14" xfId="0" applyNumberFormat="1" applyFont="1" applyFill="1" applyBorder="1" applyAlignment="1">
      <alignment horizontal="left"/>
    </xf>
    <xf numFmtId="0" fontId="19" fillId="17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3" fillId="3" borderId="10" xfId="0" applyNumberFormat="1" applyFont="1" applyFill="1" applyBorder="1" applyAlignment="1">
      <alignment horizontal="center"/>
    </xf>
    <xf numFmtId="49" fontId="33" fillId="3" borderId="10" xfId="0" applyNumberFormat="1" applyFont="1" applyFill="1" applyBorder="1"/>
    <xf numFmtId="0" fontId="34" fillId="0" borderId="10" xfId="0" applyFont="1" applyBorder="1" applyAlignment="1">
      <alignment horizontal="center" wrapText="1"/>
    </xf>
    <xf numFmtId="0" fontId="32" fillId="5" borderId="10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32" fillId="0" borderId="1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32" fillId="0" borderId="18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49" fontId="33" fillId="3" borderId="11" xfId="0" applyNumberFormat="1" applyFont="1" applyFill="1" applyBorder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32" fillId="2" borderId="19" xfId="0" applyFont="1" applyFill="1" applyBorder="1" applyAlignment="1">
      <alignment horizontal="center"/>
    </xf>
    <xf numFmtId="0" fontId="32" fillId="0" borderId="19" xfId="0" applyFont="1" applyFill="1" applyBorder="1" applyAlignment="1">
      <alignment horizontal="center"/>
    </xf>
    <xf numFmtId="0" fontId="20" fillId="20" borderId="10" xfId="0" applyFont="1" applyFill="1" applyBorder="1"/>
    <xf numFmtId="16" fontId="20" fillId="20" borderId="14" xfId="0" applyNumberFormat="1" applyFont="1" applyFill="1" applyBorder="1"/>
    <xf numFmtId="49" fontId="20" fillId="20" borderId="14" xfId="0" applyNumberFormat="1" applyFont="1" applyFill="1" applyBorder="1" applyAlignment="1">
      <alignment horizontal="left"/>
    </xf>
    <xf numFmtId="0" fontId="20" fillId="20" borderId="10" xfId="0" applyFont="1" applyFill="1" applyBorder="1" applyAlignment="1">
      <alignment horizontal="center"/>
    </xf>
    <xf numFmtId="0" fontId="19" fillId="20" borderId="10" xfId="0" applyFont="1" applyFill="1" applyBorder="1" applyAlignment="1">
      <alignment horizontal="center"/>
    </xf>
    <xf numFmtId="0" fontId="32" fillId="21" borderId="10" xfId="0" applyFont="1" applyFill="1" applyBorder="1" applyAlignment="1">
      <alignment horizontal="center"/>
    </xf>
    <xf numFmtId="0" fontId="20" fillId="22" borderId="10" xfId="0" applyFont="1" applyFill="1" applyBorder="1"/>
    <xf numFmtId="16" fontId="20" fillId="22" borderId="14" xfId="0" applyNumberFormat="1" applyFont="1" applyFill="1" applyBorder="1"/>
    <xf numFmtId="49" fontId="20" fillId="22" borderId="10" xfId="0" applyNumberFormat="1" applyFont="1" applyFill="1" applyBorder="1" applyAlignment="1">
      <alignment horizontal="left"/>
    </xf>
    <xf numFmtId="0" fontId="20" fillId="22" borderId="10" xfId="0" applyFont="1" applyFill="1" applyBorder="1" applyAlignment="1">
      <alignment horizontal="center"/>
    </xf>
    <xf numFmtId="0" fontId="19" fillId="22" borderId="10" xfId="0" applyFont="1" applyFill="1" applyBorder="1" applyAlignment="1">
      <alignment horizontal="center"/>
    </xf>
    <xf numFmtId="0" fontId="20" fillId="22" borderId="0" xfId="0" applyFont="1" applyFill="1" applyBorder="1"/>
    <xf numFmtId="16" fontId="20" fillId="22" borderId="0" xfId="0" applyNumberFormat="1" applyFont="1" applyFill="1" applyBorder="1"/>
    <xf numFmtId="49" fontId="20" fillId="22" borderId="0" xfId="0" applyNumberFormat="1" applyFont="1" applyFill="1" applyBorder="1" applyAlignment="1">
      <alignment horizontal="left"/>
    </xf>
    <xf numFmtId="0" fontId="20" fillId="22" borderId="0" xfId="0" applyFont="1" applyFill="1" applyBorder="1" applyAlignment="1">
      <alignment horizontal="center"/>
    </xf>
    <xf numFmtId="0" fontId="19" fillId="22" borderId="0" xfId="0" applyFont="1" applyFill="1" applyBorder="1" applyAlignment="1">
      <alignment horizontal="center"/>
    </xf>
    <xf numFmtId="49" fontId="20" fillId="22" borderId="14" xfId="0" applyNumberFormat="1" applyFont="1" applyFill="1" applyBorder="1" applyAlignment="1">
      <alignment horizontal="left"/>
    </xf>
    <xf numFmtId="0" fontId="27" fillId="21" borderId="0" xfId="0" applyFont="1" applyFill="1"/>
    <xf numFmtId="0" fontId="27" fillId="21" borderId="0" xfId="0" applyFont="1" applyFill="1" applyAlignment="1">
      <alignment horizontal="center"/>
    </xf>
    <xf numFmtId="0" fontId="28" fillId="21" borderId="0" xfId="0" applyFont="1" applyFill="1"/>
    <xf numFmtId="0" fontId="20" fillId="21" borderId="0" xfId="0" applyFont="1" applyFill="1"/>
    <xf numFmtId="0" fontId="28" fillId="21" borderId="0" xfId="0" applyFont="1" applyFill="1" applyBorder="1"/>
    <xf numFmtId="0" fontId="20" fillId="21" borderId="0" xfId="0" applyFont="1" applyFill="1" applyBorder="1"/>
    <xf numFmtId="0" fontId="28" fillId="21" borderId="0" xfId="0" applyFont="1" applyFill="1" applyAlignment="1">
      <alignment horizontal="center"/>
    </xf>
    <xf numFmtId="0" fontId="20" fillId="21" borderId="0" xfId="0" applyFont="1" applyFill="1" applyAlignment="1">
      <alignment horizontal="center"/>
    </xf>
    <xf numFmtId="0" fontId="0" fillId="21" borderId="0" xfId="0" applyFont="1" applyFill="1" applyBorder="1"/>
    <xf numFmtId="0" fontId="0" fillId="21" borderId="0" xfId="0" applyFont="1" applyFill="1"/>
    <xf numFmtId="0" fontId="36" fillId="21" borderId="0" xfId="0" applyFont="1" applyFill="1" applyBorder="1"/>
    <xf numFmtId="0" fontId="20" fillId="23" borderId="10" xfId="0" applyFont="1" applyFill="1" applyBorder="1"/>
    <xf numFmtId="16" fontId="20" fillId="23" borderId="14" xfId="0" applyNumberFormat="1" applyFont="1" applyFill="1" applyBorder="1"/>
    <xf numFmtId="49" fontId="20" fillId="23" borderId="14" xfId="0" applyNumberFormat="1" applyFont="1" applyFill="1" applyBorder="1" applyAlignment="1">
      <alignment horizontal="left"/>
    </xf>
    <xf numFmtId="0" fontId="20" fillId="23" borderId="10" xfId="0" applyFont="1" applyFill="1" applyBorder="1" applyAlignment="1">
      <alignment horizontal="center"/>
    </xf>
    <xf numFmtId="0" fontId="19" fillId="23" borderId="10" xfId="0" applyFont="1" applyFill="1" applyBorder="1" applyAlignment="1">
      <alignment horizontal="center"/>
    </xf>
    <xf numFmtId="0" fontId="37" fillId="17" borderId="10" xfId="0" applyFont="1" applyFill="1" applyBorder="1" applyAlignment="1">
      <alignment horizontal="center"/>
    </xf>
    <xf numFmtId="0" fontId="20" fillId="24" borderId="10" xfId="0" applyFont="1" applyFill="1" applyBorder="1"/>
    <xf numFmtId="16" fontId="20" fillId="24" borderId="14" xfId="0" applyNumberFormat="1" applyFont="1" applyFill="1" applyBorder="1"/>
    <xf numFmtId="49" fontId="20" fillId="24" borderId="14" xfId="0" applyNumberFormat="1" applyFont="1" applyFill="1" applyBorder="1" applyAlignment="1">
      <alignment horizontal="left"/>
    </xf>
    <xf numFmtId="0" fontId="20" fillId="24" borderId="10" xfId="0" applyFont="1" applyFill="1" applyBorder="1" applyAlignment="1">
      <alignment horizontal="center"/>
    </xf>
    <xf numFmtId="0" fontId="37" fillId="24" borderId="10" xfId="0" applyFont="1" applyFill="1" applyBorder="1" applyAlignment="1">
      <alignment horizontal="center"/>
    </xf>
    <xf numFmtId="0" fontId="20" fillId="24" borderId="0" xfId="0" applyFont="1" applyFill="1" applyBorder="1"/>
    <xf numFmtId="16" fontId="20" fillId="24" borderId="0" xfId="0" applyNumberFormat="1" applyFont="1" applyFill="1" applyBorder="1"/>
    <xf numFmtId="49" fontId="20" fillId="24" borderId="0" xfId="0" applyNumberFormat="1" applyFont="1" applyFill="1" applyBorder="1" applyAlignment="1">
      <alignment horizontal="left"/>
    </xf>
    <xf numFmtId="0" fontId="20" fillId="24" borderId="0" xfId="0" applyFont="1" applyFill="1" applyBorder="1" applyAlignment="1">
      <alignment horizontal="center"/>
    </xf>
    <xf numFmtId="0" fontId="19" fillId="24" borderId="0" xfId="0" applyFont="1" applyFill="1" applyBorder="1" applyAlignment="1">
      <alignment horizontal="center"/>
    </xf>
    <xf numFmtId="0" fontId="19" fillId="24" borderId="10" xfId="0" applyFont="1" applyFill="1" applyBorder="1" applyAlignment="1">
      <alignment horizontal="center"/>
    </xf>
    <xf numFmtId="0" fontId="38" fillId="22" borderId="10" xfId="0" applyFont="1" applyFill="1" applyBorder="1" applyAlignment="1">
      <alignment horizontal="center"/>
    </xf>
    <xf numFmtId="16" fontId="38" fillId="22" borderId="14" xfId="0" applyNumberFormat="1" applyFont="1" applyFill="1" applyBorder="1"/>
    <xf numFmtId="49" fontId="38" fillId="22" borderId="10" xfId="0" applyNumberFormat="1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9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27" fillId="0" borderId="0" xfId="0" applyFont="1" applyFill="1"/>
    <xf numFmtId="0" fontId="28" fillId="0" borderId="0" xfId="0" applyFont="1" applyFill="1"/>
    <xf numFmtId="0" fontId="28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0" fillId="0" borderId="0" xfId="0"/>
    <xf numFmtId="0" fontId="20" fillId="0" borderId="0" xfId="0" applyFont="1" applyFill="1" applyBorder="1" applyAlignment="1">
      <alignment horizontal="center"/>
    </xf>
    <xf numFmtId="0" fontId="0" fillId="0" borderId="0" xfId="0" applyBorder="1"/>
    <xf numFmtId="0" fontId="34" fillId="0" borderId="10" xfId="0" applyFont="1" applyBorder="1" applyAlignment="1">
      <alignment horizontal="center" wrapText="1"/>
    </xf>
    <xf numFmtId="0" fontId="33" fillId="2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6" fillId="21" borderId="0" xfId="0" applyFont="1" applyFill="1"/>
    <xf numFmtId="0" fontId="33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33" fillId="3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49" fontId="33" fillId="3" borderId="10" xfId="0" applyNumberFormat="1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28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9" fontId="19" fillId="3" borderId="10" xfId="0" applyNumberFormat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29" fillId="0" borderId="0" xfId="34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>
      <alignment horizontal="center"/>
    </xf>
    <xf numFmtId="14" fontId="19" fillId="18" borderId="0" xfId="0" applyNumberFormat="1" applyFont="1" applyFill="1" applyBorder="1" applyAlignment="1">
      <alignment horizontal="center"/>
    </xf>
    <xf numFmtId="14" fontId="19" fillId="0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19" fillId="19" borderId="14" xfId="0" applyFont="1" applyFill="1" applyBorder="1" applyAlignment="1">
      <alignment horizontal="center"/>
    </xf>
    <xf numFmtId="0" fontId="19" fillId="19" borderId="21" xfId="0" applyFont="1" applyFill="1" applyBorder="1" applyAlignment="1">
      <alignment horizontal="center"/>
    </xf>
    <xf numFmtId="0" fontId="19" fillId="19" borderId="18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9" fontId="20" fillId="0" borderId="0" xfId="42" applyFont="1" applyFill="1" applyBorder="1" applyAlignment="1" applyProtection="1">
      <alignment horizontal="center"/>
    </xf>
    <xf numFmtId="0" fontId="20" fillId="0" borderId="20" xfId="0" applyFont="1" applyFill="1" applyBorder="1" applyAlignment="1"/>
    <xf numFmtId="0" fontId="19" fillId="9" borderId="10" xfId="0" applyNumberFormat="1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5" borderId="10" xfId="0" applyFont="1" applyFill="1" applyBorder="1" applyAlignment="1">
      <alignment horizontal="center"/>
    </xf>
    <xf numFmtId="49" fontId="33" fillId="3" borderId="10" xfId="0" applyNumberFormat="1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32" fillId="0" borderId="10" xfId="0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21" xfId="0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49" fontId="20" fillId="0" borderId="1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" xfId="34" builtinId="8"/>
    <cellStyle name="Hyperlink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" xfId="42" builtinId="5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63500</xdr:rowOff>
    </xdr:from>
    <xdr:to>
      <xdr:col>2</xdr:col>
      <xdr:colOff>638175</xdr:colOff>
      <xdr:row>0</xdr:row>
      <xdr:rowOff>1320800</xdr:rowOff>
    </xdr:to>
    <xdr:pic>
      <xdr:nvPicPr>
        <xdr:cNvPr id="1093" name="Picture 5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3500"/>
          <a:ext cx="24384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104775</xdr:colOff>
      <xdr:row>0</xdr:row>
      <xdr:rowOff>342900</xdr:rowOff>
    </xdr:from>
    <xdr:to>
      <xdr:col>18</xdr:col>
      <xdr:colOff>212717</xdr:colOff>
      <xdr:row>0</xdr:row>
      <xdr:rowOff>1028700</xdr:rowOff>
    </xdr:to>
    <xdr:pic>
      <xdr:nvPicPr>
        <xdr:cNvPr id="1094" name="Picture 3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2600" y="342900"/>
          <a:ext cx="85090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152400</xdr:rowOff>
    </xdr:from>
    <xdr:to>
      <xdr:col>1</xdr:col>
      <xdr:colOff>1616741</xdr:colOff>
      <xdr:row>0</xdr:row>
      <xdr:rowOff>1397000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475" y="152400"/>
          <a:ext cx="1061116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341761</xdr:colOff>
      <xdr:row>0</xdr:row>
      <xdr:rowOff>361950</xdr:rowOff>
    </xdr:from>
    <xdr:ext cx="5954130" cy="505203"/>
    <xdr:sp macro="" textlink="">
      <xdr:nvSpPr>
        <xdr:cNvPr id="4" name="Rectangle 3"/>
        <xdr:cNvSpPr/>
      </xdr:nvSpPr>
      <xdr:spPr>
        <a:xfrm>
          <a:off x="2875411" y="361950"/>
          <a:ext cx="5954130" cy="5052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0" cap="none" spc="0">
              <a:ln w="22225">
                <a:solidFill>
                  <a:sysClr val="windowText" lastClr="000000"/>
                </a:solidFill>
                <a:prstDash val="solid"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Women's</a:t>
          </a:r>
          <a:r>
            <a:rPr lang="en-US" sz="2800" b="0" cap="none" spc="0" baseline="0">
              <a:ln w="22225">
                <a:solidFill>
                  <a:sysClr val="windowText" lastClr="000000"/>
                </a:solidFill>
                <a:prstDash val="solid"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National Cup (Fr. Parnis Cup)</a:t>
          </a:r>
          <a:endParaRPr lang="en-US" sz="2800" b="0" cap="none" spc="0">
            <a:ln w="22225">
              <a:solidFill>
                <a:sysClr val="windowText" lastClr="000000"/>
              </a:solidFill>
              <a:prstDash val="solid"/>
            </a:ln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152400</xdr:rowOff>
    </xdr:from>
    <xdr:to>
      <xdr:col>1</xdr:col>
      <xdr:colOff>1616741</xdr:colOff>
      <xdr:row>0</xdr:row>
      <xdr:rowOff>1397000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475" y="152400"/>
          <a:ext cx="1946941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391168</xdr:colOff>
      <xdr:row>0</xdr:row>
      <xdr:rowOff>497973</xdr:rowOff>
    </xdr:from>
    <xdr:ext cx="5475602" cy="505203"/>
    <xdr:sp macro="" textlink="">
      <xdr:nvSpPr>
        <xdr:cNvPr id="4" name="Rectangle 3"/>
        <xdr:cNvSpPr/>
      </xdr:nvSpPr>
      <xdr:spPr>
        <a:xfrm>
          <a:off x="2924818" y="497973"/>
          <a:ext cx="5475602" cy="5052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0" cap="none" spc="0">
              <a:ln w="22225">
                <a:solidFill>
                  <a:sysClr val="windowText" lastClr="000000"/>
                </a:solidFill>
                <a:prstDash val="solid"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Men's</a:t>
          </a:r>
          <a:r>
            <a:rPr lang="en-US" sz="2800" b="0" cap="none" spc="0" baseline="0">
              <a:ln w="22225">
                <a:solidFill>
                  <a:sysClr val="windowText" lastClr="000000"/>
                </a:solidFill>
                <a:prstDash val="solid"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National Cup (Fr. Parnis Cup)</a:t>
          </a:r>
          <a:endParaRPr lang="en-US" sz="2800" b="0" cap="none" spc="0">
            <a:ln w="22225">
              <a:solidFill>
                <a:sysClr val="windowText" lastClr="000000"/>
              </a:solidFill>
              <a:prstDash val="solid"/>
            </a:ln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139700</xdr:rowOff>
    </xdr:from>
    <xdr:to>
      <xdr:col>2</xdr:col>
      <xdr:colOff>584019</xdr:colOff>
      <xdr:row>0</xdr:row>
      <xdr:rowOff>1397000</xdr:rowOff>
    </xdr:to>
    <xdr:pic>
      <xdr:nvPicPr>
        <xdr:cNvPr id="2117" name="Picture 5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139700"/>
          <a:ext cx="22098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104775</xdr:colOff>
      <xdr:row>0</xdr:row>
      <xdr:rowOff>342900</xdr:rowOff>
    </xdr:from>
    <xdr:to>
      <xdr:col>18</xdr:col>
      <xdr:colOff>250814</xdr:colOff>
      <xdr:row>0</xdr:row>
      <xdr:rowOff>1028700</xdr:rowOff>
    </xdr:to>
    <xdr:pic>
      <xdr:nvPicPr>
        <xdr:cNvPr id="2118" name="Picture 3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342900"/>
          <a:ext cx="64516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987425</xdr:colOff>
      <xdr:row>0</xdr:row>
      <xdr:rowOff>88900</xdr:rowOff>
    </xdr:from>
    <xdr:to>
      <xdr:col>7</xdr:col>
      <xdr:colOff>1238310</xdr:colOff>
      <xdr:row>1</xdr:row>
      <xdr:rowOff>76200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6850" y="88900"/>
          <a:ext cx="2070160" cy="1397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59375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152400</xdr:rowOff>
    </xdr:from>
    <xdr:to>
      <xdr:col>2</xdr:col>
      <xdr:colOff>599983</xdr:colOff>
      <xdr:row>0</xdr:row>
      <xdr:rowOff>1397000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00" y="152400"/>
          <a:ext cx="1650908" cy="124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ltavolleyball.or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GridLines="0" topLeftCell="E1" workbookViewId="0">
      <selection activeCell="Q19" sqref="Q19"/>
    </sheetView>
  </sheetViews>
  <sheetFormatPr defaultColWidth="8.85546875" defaultRowHeight="12.75" x14ac:dyDescent="0.2"/>
  <cols>
    <col min="1" max="1" width="7" customWidth="1"/>
    <col min="2" max="2" width="16" customWidth="1"/>
    <col min="3" max="3" width="31.85546875" customWidth="1"/>
    <col min="4" max="4" width="32.7109375" customWidth="1"/>
    <col min="5" max="6" width="2" style="1" customWidth="1"/>
    <col min="7" max="14" width="3" style="1" customWidth="1"/>
    <col min="16" max="16" width="2" customWidth="1"/>
    <col min="17" max="17" width="33.42578125" customWidth="1"/>
    <col min="18" max="18" width="5" customWidth="1"/>
    <col min="19" max="19" width="4.7109375" customWidth="1"/>
    <col min="20" max="21" width="4.42578125" customWidth="1"/>
    <col min="22" max="22" width="6.140625" customWidth="1"/>
    <col min="23" max="23" width="4.7109375" customWidth="1"/>
    <col min="24" max="24" width="4.42578125" customWidth="1"/>
    <col min="25" max="25" width="5.140625" customWidth="1"/>
    <col min="26" max="26" width="4.7109375" customWidth="1"/>
    <col min="27" max="27" width="4.42578125" customWidth="1"/>
    <col min="28" max="28" width="5.140625" customWidth="1"/>
  </cols>
  <sheetData>
    <row r="1" spans="1:28" ht="128.25" customHeight="1" x14ac:dyDescent="0.2"/>
    <row r="2" spans="1:28" x14ac:dyDescent="0.2">
      <c r="A2" s="2"/>
      <c r="B2" s="2"/>
      <c r="C2" s="232" t="s">
        <v>0</v>
      </c>
      <c r="D2" s="232"/>
      <c r="E2" s="233"/>
      <c r="F2" s="233"/>
      <c r="G2" s="234"/>
      <c r="H2" s="234"/>
      <c r="I2" s="234"/>
      <c r="J2" s="234"/>
      <c r="K2" s="234"/>
      <c r="L2" s="234"/>
      <c r="M2" s="234"/>
      <c r="N2" s="234"/>
      <c r="O2" s="3"/>
      <c r="P2" s="156"/>
      <c r="Q2" s="156" t="s">
        <v>1</v>
      </c>
      <c r="R2" s="235" t="s">
        <v>2</v>
      </c>
      <c r="S2" s="235"/>
      <c r="T2" s="235"/>
      <c r="U2" s="235"/>
      <c r="V2" s="156" t="s">
        <v>3</v>
      </c>
      <c r="W2" s="229" t="s">
        <v>4</v>
      </c>
      <c r="X2" s="229"/>
      <c r="Y2" s="229"/>
      <c r="Z2" s="229" t="s">
        <v>3</v>
      </c>
      <c r="AA2" s="229"/>
      <c r="AB2" s="229"/>
    </row>
    <row r="3" spans="1:28" x14ac:dyDescent="0.2">
      <c r="A3" s="4" t="s">
        <v>5</v>
      </c>
      <c r="B3" s="4" t="s">
        <v>6</v>
      </c>
      <c r="C3" s="157" t="s">
        <v>7</v>
      </c>
      <c r="D3" s="157" t="s">
        <v>8</v>
      </c>
      <c r="E3" s="230" t="s">
        <v>4</v>
      </c>
      <c r="F3" s="230"/>
      <c r="G3" s="231">
        <v>1</v>
      </c>
      <c r="H3" s="231"/>
      <c r="I3" s="230">
        <v>2</v>
      </c>
      <c r="J3" s="230"/>
      <c r="K3" s="231">
        <v>3</v>
      </c>
      <c r="L3" s="231"/>
      <c r="M3" s="230" t="s">
        <v>9</v>
      </c>
      <c r="N3" s="230"/>
      <c r="O3" s="3"/>
      <c r="P3" s="156" t="s">
        <v>10</v>
      </c>
      <c r="Q3" s="156" t="s">
        <v>11</v>
      </c>
      <c r="R3" s="155" t="s">
        <v>9</v>
      </c>
      <c r="S3" s="156" t="s">
        <v>12</v>
      </c>
      <c r="T3" s="156" t="s">
        <v>13</v>
      </c>
      <c r="U3" s="5" t="s">
        <v>14</v>
      </c>
      <c r="V3" s="156" t="s">
        <v>15</v>
      </c>
      <c r="W3" s="156" t="s">
        <v>12</v>
      </c>
      <c r="X3" s="6" t="s">
        <v>13</v>
      </c>
      <c r="Y3" s="156" t="s">
        <v>16</v>
      </c>
      <c r="Z3" s="156" t="s">
        <v>12</v>
      </c>
      <c r="AA3" s="6" t="s">
        <v>13</v>
      </c>
      <c r="AB3" s="156" t="s">
        <v>16</v>
      </c>
    </row>
    <row r="4" spans="1:28" x14ac:dyDescent="0.2">
      <c r="A4" s="2" t="s">
        <v>17</v>
      </c>
      <c r="B4" s="2" t="s">
        <v>18</v>
      </c>
      <c r="C4" s="7"/>
      <c r="D4" s="7"/>
      <c r="E4" s="154"/>
      <c r="F4" s="154"/>
      <c r="G4" s="8"/>
      <c r="H4" s="8"/>
      <c r="I4" s="154"/>
      <c r="J4" s="154"/>
      <c r="K4" s="8"/>
      <c r="L4" s="8"/>
      <c r="M4" s="154"/>
      <c r="N4" s="154"/>
      <c r="O4" s="9"/>
      <c r="P4" s="153">
        <v>1</v>
      </c>
      <c r="Q4" s="153"/>
      <c r="R4" s="154">
        <f t="shared" ref="R4:R11" si="0">S4+T4+U4</f>
        <v>0</v>
      </c>
      <c r="S4" s="154">
        <f>COUNTIF($F$7,"=2")+COUNTIF($F$10,"=2")+COUNTIF($F$13,"=2")+COUNTIF($E$16,"=2")+COUNTIF($E$21,"=2")+COUNTIF($E$26,"=2")+COUNTIF($E$31,"=2")+COUNTIF($E$35,"=2")+COUNTIF($E$38,"=2")+COUNTIF($E$41,"=2")+COUNTIF($F$44,"=2")+COUNTIF($F$49,"=2")+COUNTIF($F$54,"=2")+COUNTIF($F$59,"=2")</f>
        <v>0</v>
      </c>
      <c r="T4" s="154">
        <f>SUM(IF($F$7&lt;$E$7,1,0))+SUM(IF($F$10&lt;$E$10,1,0))+SUM(IF($F$13&lt;$E$13,1,0))+SUM(IF($E$16&lt;$F$16,1,0))+SUM(IF($E$21&lt;$F$21,1,0))+SUM(IF($E$26&lt;$F$26,1,0))+SUM(IF($E$31&lt;$F$31,1,0))+SUM(IF($E$35&lt;$F$35,1,0))+SUM(IF($E$38&lt;$F$38,1,0))+SUM(IF($E$41&lt;$F$41,1,0))+SUM(IF($F$44&lt;$E$44,1,0))+SUM(IF($F$49&lt;$E$49,1,0))+SUM(IF($F$54&lt;$E$54,1,0))+SUM(IF($F$59&lt;$E$59,1,0))</f>
        <v>0</v>
      </c>
      <c r="U4" s="154"/>
      <c r="V4" s="153">
        <f t="shared" ref="V4:V11" si="1">(S4*$R$15)+(T4*$R$16)</f>
        <v>0</v>
      </c>
      <c r="W4" s="154">
        <f>$F$7+$F$10+$F$13+$E$16+$E$21+$E$26+$E$31+$E$35+$E$38+$E$41+$F$44+$F$49+$F$54+$F$59</f>
        <v>0</v>
      </c>
      <c r="X4" s="154">
        <f>$E$7+$E$10+$E$13+$F$16+$F$21+$F$26+$F$31+$F$35+$F$38+$F$41+$E$44+$E$49+$E$54+$E$59</f>
        <v>0</v>
      </c>
      <c r="Y4" s="154" t="str">
        <f t="shared" ref="Y4:Y11" si="2">IF(X4=0,"MAX",W4/X4)</f>
        <v>MAX</v>
      </c>
      <c r="Z4" s="154">
        <f>$N$7+$N$10+$N$13+$M$16+$M$21+$M$26+$M$31+$M$35+$M$38+$M$41+$N$44+$N$49+$N$54+$N$59</f>
        <v>0</v>
      </c>
      <c r="AA4" s="154">
        <f>$M$7+$M$10+$M$13+$N$16+$N$21+$N$26+$N$31+$N$35+$N$38+$N$41+$M$44+$M$49+$M$54+$M$59</f>
        <v>0</v>
      </c>
      <c r="AB4" s="154" t="str">
        <f t="shared" ref="AB4:AB11" si="3">IF(AA4=0,"MAX",Z4/AA4)</f>
        <v>MAX</v>
      </c>
    </row>
    <row r="5" spans="1:28" x14ac:dyDescent="0.2">
      <c r="A5" s="2" t="s">
        <v>19</v>
      </c>
      <c r="B5" s="2" t="s">
        <v>18</v>
      </c>
      <c r="C5" s="7"/>
      <c r="D5" s="7"/>
      <c r="E5" s="154"/>
      <c r="F5" s="154"/>
      <c r="G5" s="8"/>
      <c r="H5" s="8"/>
      <c r="I5" s="154"/>
      <c r="J5" s="154"/>
      <c r="K5" s="8"/>
      <c r="L5" s="8"/>
      <c r="M5" s="154"/>
      <c r="N5" s="154"/>
      <c r="O5" s="9"/>
      <c r="P5" s="153">
        <v>2</v>
      </c>
      <c r="Q5" s="10"/>
      <c r="R5" s="154">
        <f t="shared" si="0"/>
        <v>0</v>
      </c>
      <c r="S5" s="11">
        <f>COUNTIF($F$5,"=2")+COUNTIF($E$8,"=2")+COUNTIF($E$13,"=2")+COUNTIF($E$18,"=2")+COUNTIF($E$23,"=2")+COUNTIF($F$27,"=2")+COUNTIF($F$30,"=2")+COUNTIF($E$33,"=2")+COUNTIF($F$36,"=2")+COUNTIF($F$41,"=2")+COUNTIF($F$46,"=2")+COUNTIF($F$51,"=2")+COUNTIF($E$55,"=2")+COUNTIF($E$58,"=2")</f>
        <v>0</v>
      </c>
      <c r="T5" s="11">
        <f>SUM(IF($F$5&lt;$E$5,1,0))+SUM(IF($E$8&lt;$F$8,1,0))+SUM(IF($E$13&lt;$F$13,1,0))+SUM(IF($E$18&lt;$F$18,1,0))+SUM(IF($E$23&lt;$F$23,1,0))+SUM(IF($F$27&lt;$E$27,1,0))+SUM(IF($F$30&lt;$E$30,1,0))+SUM(IF($E$33&lt;$F$33,1,0))+SUM(IF($F$36&lt;$E$36,1,0))+SUM(IF($F$41&lt;$E$41,1,0))+SUM(IF($F$46&lt;$E$46,1,0))+SUM(IF($F$51&lt;$E$51,1,0))+SUM(IF($E$55&lt;$F$55,1,0))+SUM(IF($E$58&lt;$F$58,1,0))</f>
        <v>0</v>
      </c>
      <c r="U5" s="12"/>
      <c r="V5" s="153">
        <f t="shared" si="1"/>
        <v>0</v>
      </c>
      <c r="W5" s="13">
        <f>$F$5+$E$8+$E$13+$E$18+$E$23+$F$27+$F$30+$E$33+$F$36+$F$41+$F$46+$F$51+$E$55+$E$58</f>
        <v>0</v>
      </c>
      <c r="X5" s="11">
        <f>$E$5+$F$8+$F$13+$F$18+$F$23+$E$27+$E$30+$F$33+$E$36+$E$41+$E$46+$E$51+$F$55+$F$58</f>
        <v>0</v>
      </c>
      <c r="Y5" s="154" t="str">
        <f t="shared" si="2"/>
        <v>MAX</v>
      </c>
      <c r="Z5" s="11">
        <f>$N$5+$M$8+$M$13+$M$18+$M$23+$N$27+$N$30+$M$33+$N$36+$N$41+$N$46+$N$51+$M$55+$M$58</f>
        <v>0</v>
      </c>
      <c r="AA5" s="13">
        <f>$M$5+$N$8+$N$13+$N$18+$N$23+$M$27+$M$30+$N$33+$M$36+$M$41+$M$46+$M$51+$N$55+$N$58</f>
        <v>0</v>
      </c>
      <c r="AB5" s="154" t="str">
        <f t="shared" si="3"/>
        <v>MAX</v>
      </c>
    </row>
    <row r="6" spans="1:28" x14ac:dyDescent="0.2">
      <c r="A6" s="2" t="s">
        <v>20</v>
      </c>
      <c r="B6" s="2" t="s">
        <v>18</v>
      </c>
      <c r="C6" s="7"/>
      <c r="D6" s="7"/>
      <c r="E6" s="154"/>
      <c r="F6" s="154"/>
      <c r="G6" s="8"/>
      <c r="H6" s="8"/>
      <c r="I6" s="154"/>
      <c r="J6" s="154"/>
      <c r="K6" s="8"/>
      <c r="L6" s="8"/>
      <c r="M6" s="154"/>
      <c r="N6" s="154"/>
      <c r="O6" s="9"/>
      <c r="P6" s="153">
        <v>3</v>
      </c>
      <c r="Q6" s="153"/>
      <c r="R6" s="154">
        <f t="shared" si="0"/>
        <v>0</v>
      </c>
      <c r="S6" s="154">
        <f>COUNTIF($E$7,"=2")+COUNTIF($F$11,"=2")+COUNTIF($F$14,"=2")+COUNTIF($F$17,"=2")+COUNTIF($F$20,"=2")+COUNTIF($E$25,"=2")+COUNTIF($E$30,"=2")+COUNTIF($F$35,"=2")+COUNTIF($E$39,"=2")+COUNTIF($E$42,"=2")+COUNTIF($E$45,"=2")+COUNTIF($E$48,"=2")+COUNTIF($F$53,"=2")+COUNTIF($F$58,"=2")</f>
        <v>0</v>
      </c>
      <c r="T6" s="154">
        <f>SUM(IF($E$7&lt;$F$7,1,0))+SUM(IF($F$11&lt;$E$11,1,0))+SUM(IF($F$14&lt;$E$14,1,0))+SUM(IF($F$17&lt;$E$17,1,0))+SUM(IF($F$20&lt;$E$20,1,0))+SUM(IF($E$25&lt;$F$25,1,0))+SUM(IF($E$30&lt;$F$30,1,0))+SUM(IF($F$35&lt;$E$35,1,0))+SUM(IF($E$39&lt;$F$39,1,0))+SUM(IF($E$42&lt;$F$42,1,0))+SUM(IF($E$45&lt;$F$45,1,0))+SUM(IF($E$48&lt;$F$48,1,0))+SUM(IF($F$53&lt;$E$53,1,0))+SUM(IF($F$58&lt;$E$58,1,0))</f>
        <v>0</v>
      </c>
      <c r="U6" s="154"/>
      <c r="V6" s="153">
        <f t="shared" si="1"/>
        <v>0</v>
      </c>
      <c r="W6" s="154">
        <f>$E$7+$F$11+$F$14+$F$17+$F$20+$E$25+$E$30+$F$35+$E$39+$E$42+$E$45+$E$48+$F$53+$F$58</f>
        <v>0</v>
      </c>
      <c r="X6" s="154">
        <f>$F$7+$E$11+$E$14+$E$17+$E$20+$F$25+$F$30+$E$35+$F$39+$F$42+$F$45+$F$48+$E$53+$E$58</f>
        <v>0</v>
      </c>
      <c r="Y6" s="154" t="str">
        <f t="shared" si="2"/>
        <v>MAX</v>
      </c>
      <c r="Z6" s="154">
        <f>$M$6+$M$11+$N$15+$N$18+$N$21+$M$24+$M$29+$N$34+$N$39+$M$43+$M$46+$M$49+$N$52+$N$57</f>
        <v>0</v>
      </c>
      <c r="AA6" s="154">
        <f>$N$7+$M$11+$M$14+$M$17+$M$20+$N$25+$N$30+$M$35+$N$39+$N$42+$N$45+$N$48+$M$53+$M$58</f>
        <v>0</v>
      </c>
      <c r="AB6" s="154" t="str">
        <f t="shared" si="3"/>
        <v>MAX</v>
      </c>
    </row>
    <row r="7" spans="1:28" x14ac:dyDescent="0.2">
      <c r="A7" s="2" t="s">
        <v>21</v>
      </c>
      <c r="B7" s="2" t="s">
        <v>18</v>
      </c>
      <c r="C7" s="7"/>
      <c r="D7" s="7"/>
      <c r="E7" s="154"/>
      <c r="F7" s="154"/>
      <c r="G7" s="8"/>
      <c r="H7" s="8"/>
      <c r="I7" s="154"/>
      <c r="J7" s="154"/>
      <c r="K7" s="8"/>
      <c r="L7" s="8"/>
      <c r="M7" s="154"/>
      <c r="N7" s="154"/>
      <c r="O7" s="9"/>
      <c r="P7" s="153">
        <v>4</v>
      </c>
      <c r="Q7" s="153"/>
      <c r="R7" s="154">
        <f t="shared" si="0"/>
        <v>0</v>
      </c>
      <c r="S7" s="154">
        <f>COUNTIF($F$4,"=2")+COUNTIF($E$9,"=2")+COUNTIF($E$14,"=2")+COUNTIF($E$19,"=2")+COUNTIF($F$23,"=2")+COUNTIF($F$26,"=2")+COUNTIF($F$29,"=2")+COUNTIF($E$32,"=2")+COUNTIF($F$37,"=2")+COUNTIF($F$42,"=2")+COUNTIF($F$47,"=2")+COUNTIF($E$51,"=2")+COUNTIF($E$54,"=2")+COUNTIF($E$57,"=2")</f>
        <v>0</v>
      </c>
      <c r="T7" s="154">
        <f>SUM(IF($F$4&lt;$E$4,1,0))+SUM(IF($E$9&lt;$F$9,1,0))+SUM(IF($E$14&lt;$F$14,1,0))+SUM(IF($E$19&lt;$F$19,1,0))+SUM(IF($F$23&lt;$E$23,1,0))+SUM(IF($F$26&lt;$E$26,1,0))+SUM(IF($F$29&lt;$E$29,1,0))+SUM(IF($E$32&lt;$F$32,1,0))+SUM(IF($F$37&lt;$E$37,1,0))+SUM(IF($F$42&lt;$E$42,1,0))+SUM(IF($F$47&lt;$E$47,1,0))+SUM(IF($E$51&lt;$F$51,1,0))+SUM(IF($E$54&lt;$F$54,1,0))+SUM(IF($E$57&lt;$F$57,1,0))</f>
        <v>0</v>
      </c>
      <c r="U7" s="154"/>
      <c r="V7" s="153">
        <f t="shared" si="1"/>
        <v>0</v>
      </c>
      <c r="W7" s="154">
        <f>$F$4+$E$9+$E$14+$E$19+$F$23+$F$26+$F$29+$E$32+$F$37+$F$42+$F$47+$E$51+$E$54+$E$57</f>
        <v>0</v>
      </c>
      <c r="X7" s="154">
        <f>$E$4+$F$9+$F$14+$F$19+$E$23+$E$26+$E$29+$F$32+$E$37+$E$42+$E$47+$F$51+$F$54+$F$57</f>
        <v>0</v>
      </c>
      <c r="Y7" s="154" t="str">
        <f t="shared" si="2"/>
        <v>MAX</v>
      </c>
      <c r="Z7" s="154">
        <f>$N$4+$M$9+$M$14+$M$19+$N$23+$N$26+$N$29+$M$32+$N$37+$N$42+$N$47+$M$51+$M$54+$M$57</f>
        <v>0</v>
      </c>
      <c r="AA7" s="154">
        <f>$M$4+$N$9+$N$14+$N$19+$M$23+$M$26+$M$29+$N$32+$M$37+$M$42+$M$47+$N$51+$N$54+$N$57</f>
        <v>0</v>
      </c>
      <c r="AB7" s="154" t="str">
        <f t="shared" si="3"/>
        <v>MAX</v>
      </c>
    </row>
    <row r="8" spans="1:28" x14ac:dyDescent="0.2">
      <c r="A8" s="2" t="s">
        <v>22</v>
      </c>
      <c r="B8" s="2" t="s">
        <v>18</v>
      </c>
      <c r="C8" s="7"/>
      <c r="D8" s="7"/>
      <c r="E8" s="154"/>
      <c r="F8" s="154"/>
      <c r="G8" s="8"/>
      <c r="H8" s="8"/>
      <c r="I8" s="154"/>
      <c r="J8" s="14"/>
      <c r="K8" s="8"/>
      <c r="L8" s="8"/>
      <c r="M8" s="154"/>
      <c r="N8" s="154"/>
      <c r="O8" s="9"/>
      <c r="P8" s="153">
        <v>5</v>
      </c>
      <c r="Q8" s="153"/>
      <c r="R8" s="154">
        <f t="shared" si="0"/>
        <v>0</v>
      </c>
      <c r="S8" s="154">
        <f>COUNTIF($E$5,"=2")+COUNTIF($E$10,"=2")+COUNTIF($E$15,"=2")+COUNTIF($F$19,"=2")+COUNTIF($F$22,"=2")+COUNTIF($F$25,"=2")+COUNTIF($F$28,"=2")+COUNTIF($F$33,"=2")+COUNTIF($F$38,"=2")+COUNTIF($F$43,"=2")+COUNTIF($E$47,"=2")+COUNTIF($E$50,"=2")+COUNTIF($E$53,"=2")+COUNTIF($E$56,"=2")</f>
        <v>0</v>
      </c>
      <c r="T8" s="154">
        <f>SUM(IF($E$5&lt;$F$5,1,0))+SUM(IF($E$10&lt;$F$10,1,0))+SUM(IF($E$15&lt;$F$15,1,0))+SUM(IF($F$19&lt;$E$19,1,0))+SUM(IF($F$22&lt;$E$22,1,0))+SUM(IF($F$25&lt;$E$25,1,0))+SUM(IF($F$28&lt;$E$28,1,0))+SUM(IF($F$33&lt;$E$33,1,0))+SUM(IF($F$38&lt;$E$38,1,0))+SUM(IF($F$43&lt;$E$43,1,0))+SUM(IF($E$47&lt;$F$47,1,0))+SUM(IF($E$50&lt;$F$50,1,0))+SUM(IF($E$53&lt;$F$53,1,0))+SUM(IF($E$56&lt;$F$56,1,0))</f>
        <v>0</v>
      </c>
      <c r="U8" s="154"/>
      <c r="V8" s="153">
        <f t="shared" si="1"/>
        <v>0</v>
      </c>
      <c r="W8" s="154">
        <f>$E$5+$E$10+$E$15+$F$19+$F$22+$F$25+$F$28+$F$33+$F$38+$F$43+$E$47+$E$50+$E$53+$E$56</f>
        <v>0</v>
      </c>
      <c r="X8" s="154">
        <f>$F$5+$F$10+$F$15+$E$19+$E$22+$E$25+$E$28+$E$33+$E$38+$E$43+$F$47+$F$50+$F$53+$F$56</f>
        <v>0</v>
      </c>
      <c r="Y8" s="154" t="str">
        <f t="shared" si="2"/>
        <v>MAX</v>
      </c>
      <c r="Z8" s="154">
        <f>$M$5+$M$10+$M$15+$N$19+$N$22+$N$25+$N$28+$N$33+$N$38+$N$43+$M$47+$M$50+$M$53+$M$56</f>
        <v>0</v>
      </c>
      <c r="AA8" s="154">
        <f>$N$5+$N$10+$N$15+$M$19+$M$22+$M$25+$M$28+$M$33+$M$38+$M$43+$N$47+$N$50+$N$53+$N$56</f>
        <v>0</v>
      </c>
      <c r="AB8" s="154" t="str">
        <f t="shared" si="3"/>
        <v>MAX</v>
      </c>
    </row>
    <row r="9" spans="1:28" ht="12.75" customHeight="1" x14ac:dyDescent="0.2">
      <c r="A9" s="2" t="s">
        <v>23</v>
      </c>
      <c r="B9" s="2" t="s">
        <v>18</v>
      </c>
      <c r="C9" s="7"/>
      <c r="D9" s="7"/>
      <c r="E9" s="154"/>
      <c r="F9" s="154"/>
      <c r="G9" s="8"/>
      <c r="H9" s="8"/>
      <c r="I9" s="154"/>
      <c r="J9" s="14"/>
      <c r="K9" s="8"/>
      <c r="L9" s="8"/>
      <c r="M9" s="154"/>
      <c r="N9" s="154"/>
      <c r="O9" s="9"/>
      <c r="P9" s="157">
        <v>6</v>
      </c>
      <c r="Q9" s="157"/>
      <c r="R9" s="15">
        <f t="shared" si="0"/>
        <v>0</v>
      </c>
      <c r="S9" s="15">
        <f>COUNTIF($F$6,"=2")+COUNTIF($F$9,"=2")+COUNTIF($F$12,"=2")+COUNTIF($E$17,"=2")+COUNTIF($E$22,"=2")+COUNTIF($E$27,"=2")+COUNTIF($F$31,"=2")+COUNTIF($E$34,"=2")+COUNTIF($F$45,"=2")+COUNTIF($F$50,"=2")+COUNTIF($F$55,"=2")+COUNTIF($E$59,"=2")+COUNTIF($E$37,"=2")+COUNTIF($E$40,"=2")</f>
        <v>0</v>
      </c>
      <c r="T9" s="15">
        <f>SUM(IF($F$6&lt;$E$6,1,0))+SUM(IF($F$9&lt;$E$9,1,0))+SUM(IF($F$12&lt;$E$12,1,0))+SUM(IF($E$17&lt;$F$17,1,0))+SUM(IF($E$22&lt;$F$22,1,0))+SUM(IF($E$27&lt;$F$27,1,0))+SUM(IF($F$31&lt;$E$31,1,0))+SUM(IF($E$34&lt;$F$34,1,0))+SUM(IF($F$45&lt;$E$45,1,0))+SUM(IF($F$50&lt;$E$50,1,0))+SUM(IF($F$55&lt;$E$55,1,0))+SUM(IF($E$59&lt;$F$59,1,0))+SUM(IF($E$37&lt;$F$37,1,0))+SUM(IF($E$40&lt;$F$40,1,0))-2</f>
        <v>-2</v>
      </c>
      <c r="U9" s="15">
        <v>2</v>
      </c>
      <c r="V9" s="157">
        <f t="shared" si="1"/>
        <v>-2</v>
      </c>
      <c r="W9" s="15">
        <f>$F$6+$F$9+$F$12+$E$17+$E$22+$E$27+$F$31+$E$34+$F$45+$F$50+$F$55+$E$59+$E$37+$E$40</f>
        <v>0</v>
      </c>
      <c r="X9" s="15">
        <f>$E$6+$E$9+$E$12+$F$17+$F$22+$F$27+$E$31+$F$34+$E$45+$E$50+$E$55+$F$59+$F$37+$F$40</f>
        <v>0</v>
      </c>
      <c r="Y9" s="15" t="str">
        <f t="shared" si="2"/>
        <v>MAX</v>
      </c>
      <c r="Z9" s="15">
        <f>$N$6+$N$9+$N$12+$M$17+$M$22+$M$27+$N$31+$M$34+$N$45+$N$50+$N$55+$M$59+$M$37+$M$40</f>
        <v>0</v>
      </c>
      <c r="AA9" s="15">
        <f>$M$6+$M$9+$M$12+$N$17+$N$22+$N$27+$M$31+$N$34+$M$45+$M$50+$M$55+$N$59+$N$37+$N$40</f>
        <v>0</v>
      </c>
      <c r="AB9" s="15" t="str">
        <f t="shared" si="3"/>
        <v>MAX</v>
      </c>
    </row>
    <row r="10" spans="1:28" x14ac:dyDescent="0.2">
      <c r="A10" s="2" t="s">
        <v>24</v>
      </c>
      <c r="B10" s="2" t="s">
        <v>18</v>
      </c>
      <c r="C10" s="7"/>
      <c r="D10" s="7"/>
      <c r="E10" s="154"/>
      <c r="F10" s="154"/>
      <c r="G10" s="8"/>
      <c r="H10" s="8"/>
      <c r="I10" s="154"/>
      <c r="J10" s="14"/>
      <c r="K10" s="8"/>
      <c r="L10" s="8"/>
      <c r="M10" s="154"/>
      <c r="N10" s="154"/>
      <c r="O10" s="9"/>
      <c r="P10" s="16">
        <v>7</v>
      </c>
      <c r="Q10" s="153"/>
      <c r="R10" s="154">
        <f t="shared" si="0"/>
        <v>0</v>
      </c>
      <c r="S10" s="154">
        <f>COUNTIF($E$6,"=2")+COUNTIF($E$11,"=2")+COUNTIF($F$15,"=2")+COUNTIF($F$18,"=2")+COUNTIF($F$21,"=2")+COUNTIF($E$24,"=2")+COUNTIF($E$29,"=2")+COUNTIF($F$34,"=2")+COUNTIF($F$39,"=2")+COUNTIF($E$43,"=2")+COUNTIF($E$46,"=2")+COUNTIF($E$49,"=2")+COUNTIF($F$52,"=2")+COUNTIF($F$57,"=2")</f>
        <v>0</v>
      </c>
      <c r="T10" s="154">
        <f>SUM(IF($E$6&lt;$F$6,1,0))+SUM(IF($E$11&lt;$F$11,1,0))+SUM(IF($F$15&lt;$E$15,1,0))+SUM(IF($F$18&lt;$E$18,1,0))+SUM(IF($F$21&lt;$E$21,1,0))+SUM(IF($E$24&lt;$F$24,1,0))+SUM(IF($E$29&lt;$F$29,1,0))+SUM(IF($F$34&lt;$E$34,1,0))+SUM(IF($F$39&lt;$E$39,1,0))+SUM(IF($E$43&lt;$F$43,1,0))+SUM(IF($E$46&lt;$F$46,1,0))+SUM(IF($E$49&lt;$F$49,1,0))+SUM(IF($F$52&lt;$E$52,1,0))+SUM(IF($F$57&lt;$E$57,1,0))-1</f>
        <v>-1</v>
      </c>
      <c r="U10" s="154">
        <v>1</v>
      </c>
      <c r="V10" s="153">
        <f t="shared" si="1"/>
        <v>-1</v>
      </c>
      <c r="W10" s="154">
        <f>$E$6+$E$11+$F$15+$F$18+$F$21+$E$24+$E$29+$F$34+$F$39+$E$43+$E$46+$E$49+$F$52+$F$57</f>
        <v>0</v>
      </c>
      <c r="X10" s="154">
        <f>$F$5+$F$10+$F$15+$E$19+$E$22+$E$25+$E$28+$E$33+$E$38+$E$43+$F$47+$F$50+$F$53+$F$56</f>
        <v>0</v>
      </c>
      <c r="Y10" s="154" t="str">
        <f t="shared" si="2"/>
        <v>MAX</v>
      </c>
      <c r="Z10" s="154">
        <f>$M$6+$M$11+$N$15+$N$18+$N$21+$M$24+$M$29+$N$34+$N$39+$M$43+$M$46+$M$49+$N$52+$N$57</f>
        <v>0</v>
      </c>
      <c r="AA10" s="154">
        <f>$N$6+$N$11+$M$15+$M$18+$M$21+$N$24+$N$29+$M$34+$M$39+$N$43+$N$46+$N$49+$M$52+$M$57</f>
        <v>0</v>
      </c>
      <c r="AB10" s="154" t="str">
        <f t="shared" si="3"/>
        <v>MAX</v>
      </c>
    </row>
    <row r="11" spans="1:28" x14ac:dyDescent="0.2">
      <c r="A11" s="2" t="s">
        <v>25</v>
      </c>
      <c r="B11" s="2" t="s">
        <v>18</v>
      </c>
      <c r="C11" s="7"/>
      <c r="D11" s="7"/>
      <c r="E11" s="154"/>
      <c r="F11" s="154"/>
      <c r="G11" s="8"/>
      <c r="H11" s="8"/>
      <c r="I11" s="154"/>
      <c r="J11" s="14"/>
      <c r="K11" s="8"/>
      <c r="L11" s="8"/>
      <c r="M11" s="154"/>
      <c r="N11" s="154"/>
      <c r="O11" s="9"/>
      <c r="P11" s="153">
        <v>8</v>
      </c>
      <c r="Q11" s="153"/>
      <c r="R11" s="154">
        <f t="shared" si="0"/>
        <v>0</v>
      </c>
      <c r="S11" s="154">
        <f>COUNTIF($E$4,"=2")+COUNTIF($F$8,"=2")+COUNTIF($E$12,"=2")+COUNTIF($F$16,"=2")+COUNTIF($E$20,"=2")+COUNTIF($F$24,"=2")+COUNTIF($E$28,"=2")+COUNTIF($F$32,"=2")+COUNTIF($E$36,"=2")+COUNTIF($F$40,"=2")+COUNTIF($E$44,"=2")+COUNTIF($F$48,"=2")+COUNTIF($E$52,"=2")+COUNTIF($F$56,"=2")</f>
        <v>0</v>
      </c>
      <c r="T11" s="154">
        <f>SUM(IF($E$4&lt;$F$4,1,0))+SUM(IF($F$8&lt;$E$8,1,0))+SUM(IF($E$12&lt;$F$12,1,0))+SUM(IF($F$16&lt;$E$16,1,0))+SUM(IF($E$20&lt;$F$20,1,0))+SUM(IF($F$24&lt;$E$24,1,0))+SUM(IF($E$28&lt;$F$28,1,0))+SUM(IF($F$32&lt;$E$32,1,0))+SUM(IF($E$36&lt;$F$36,1,0))+SUM(IF($F$40&lt;$E$40,1,0))+SUM(IF($E$44&lt;$F$44,1,0))+SUM(IF($F$48&lt;$E$48,1,0))+SUM(IF($E$52&lt;$F$52,1,0))+SUM(IF($F$56&lt;$E$56,1,0))-1</f>
        <v>-1</v>
      </c>
      <c r="U11" s="154">
        <v>1</v>
      </c>
      <c r="V11" s="153">
        <f t="shared" si="1"/>
        <v>-1</v>
      </c>
      <c r="W11" s="154">
        <f>$E$4+$F$8+$E$12+$F$16+$E$20+$F$24+$E$28+$F$32+$E$36+$F$40+$E$44+$F$48+$E$52+$F$56</f>
        <v>0</v>
      </c>
      <c r="X11" s="154">
        <f>$F$4+$E$8+$F$12+$E$16+$F$20+$E$24+$F$28+$E$32+$F$36+$E$40+$F$44+$E$48+$F$52+$E$56</f>
        <v>0</v>
      </c>
      <c r="Y11" s="154" t="str">
        <f t="shared" si="2"/>
        <v>MAX</v>
      </c>
      <c r="Z11" s="154">
        <f>$M$4+$N$8+$M$12+$N$16+$M$20+$N$24+$M$28+$N$32+$M$36+$N$40+$M$44+$N$48+$M$52+$N$56</f>
        <v>0</v>
      </c>
      <c r="AA11" s="154">
        <f>$N$4+$M$8+$N$12+$M$16+$N$20+$M$24+$N$28+$M$32+$N$36+$M$40+$N$44+$M$48+$N$52+$M$56</f>
        <v>0</v>
      </c>
      <c r="AB11" s="154" t="str">
        <f t="shared" si="3"/>
        <v>MAX</v>
      </c>
    </row>
    <row r="12" spans="1:28" x14ac:dyDescent="0.2">
      <c r="A12" s="2" t="s">
        <v>26</v>
      </c>
      <c r="B12" s="2" t="s">
        <v>18</v>
      </c>
      <c r="C12" s="7"/>
      <c r="D12" s="7"/>
      <c r="E12" s="154"/>
      <c r="F12" s="154"/>
      <c r="G12" s="8"/>
      <c r="H12" s="8"/>
      <c r="I12" s="154"/>
      <c r="J12" s="14"/>
      <c r="K12" s="8"/>
      <c r="L12" s="8"/>
      <c r="M12" s="154"/>
      <c r="N12" s="154"/>
      <c r="O12" s="9"/>
      <c r="P12" s="17"/>
      <c r="Q12" s="18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x14ac:dyDescent="0.2">
      <c r="A13" s="2" t="s">
        <v>27</v>
      </c>
      <c r="B13" s="2" t="s">
        <v>18</v>
      </c>
      <c r="C13" s="7"/>
      <c r="D13" s="7"/>
      <c r="E13" s="154"/>
      <c r="F13" s="154"/>
      <c r="G13" s="8"/>
      <c r="H13" s="8"/>
      <c r="I13" s="154"/>
      <c r="J13" s="14"/>
      <c r="K13" s="8"/>
      <c r="L13" s="8"/>
      <c r="M13" s="154"/>
      <c r="N13" s="154"/>
      <c r="O13" s="9"/>
      <c r="P13" s="19"/>
      <c r="Q13" s="3"/>
      <c r="R13" s="3"/>
      <c r="S13" s="3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2.75" customHeight="1" x14ac:dyDescent="0.2">
      <c r="A14" s="2" t="s">
        <v>28</v>
      </c>
      <c r="B14" s="2" t="s">
        <v>18</v>
      </c>
      <c r="C14" s="7"/>
      <c r="D14" s="7"/>
      <c r="E14" s="154"/>
      <c r="F14" s="154"/>
      <c r="G14" s="8"/>
      <c r="H14" s="8"/>
      <c r="I14" s="154"/>
      <c r="J14" s="14"/>
      <c r="K14" s="8"/>
      <c r="L14" s="8"/>
      <c r="M14" s="154"/>
      <c r="N14" s="154"/>
      <c r="O14" s="9"/>
      <c r="P14" s="19"/>
      <c r="Q14" s="228" t="s">
        <v>3</v>
      </c>
      <c r="R14" s="228"/>
      <c r="S14" s="19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x14ac:dyDescent="0.2">
      <c r="A15" s="2" t="s">
        <v>29</v>
      </c>
      <c r="B15" s="2" t="s">
        <v>18</v>
      </c>
      <c r="C15" s="7"/>
      <c r="D15" s="7"/>
      <c r="E15" s="154"/>
      <c r="F15" s="154"/>
      <c r="G15" s="8"/>
      <c r="H15" s="8"/>
      <c r="I15" s="154"/>
      <c r="J15" s="14"/>
      <c r="K15" s="8"/>
      <c r="L15" s="8"/>
      <c r="M15" s="154"/>
      <c r="N15" s="154"/>
      <c r="O15" s="9"/>
      <c r="P15" s="19"/>
      <c r="Q15" s="20" t="s">
        <v>12</v>
      </c>
      <c r="R15" s="20">
        <v>3</v>
      </c>
      <c r="S15" s="19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x14ac:dyDescent="0.2">
      <c r="A16" s="2" t="s">
        <v>30</v>
      </c>
      <c r="B16" s="2" t="s">
        <v>18</v>
      </c>
      <c r="C16" s="7"/>
      <c r="D16" s="7"/>
      <c r="E16" s="154"/>
      <c r="F16" s="154"/>
      <c r="G16" s="8"/>
      <c r="H16" s="8"/>
      <c r="I16" s="154"/>
      <c r="J16" s="14"/>
      <c r="K16" s="8"/>
      <c r="L16" s="8"/>
      <c r="M16" s="154"/>
      <c r="N16" s="154"/>
      <c r="O16" s="9"/>
      <c r="P16" s="19"/>
      <c r="Q16" s="19" t="s">
        <v>13</v>
      </c>
      <c r="R16" s="19">
        <v>1</v>
      </c>
      <c r="S16" s="19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x14ac:dyDescent="0.2">
      <c r="A17" s="2" t="s">
        <v>31</v>
      </c>
      <c r="B17" s="2" t="s">
        <v>18</v>
      </c>
      <c r="C17" s="7"/>
      <c r="D17" s="7"/>
      <c r="E17" s="154"/>
      <c r="F17" s="154"/>
      <c r="G17" s="8"/>
      <c r="H17" s="8"/>
      <c r="I17" s="154"/>
      <c r="J17" s="14"/>
      <c r="K17" s="8"/>
      <c r="L17" s="8"/>
      <c r="M17" s="154"/>
      <c r="N17" s="154"/>
      <c r="O17" s="9"/>
      <c r="P17" s="156"/>
      <c r="Q17" s="156" t="s">
        <v>32</v>
      </c>
      <c r="R17" s="19">
        <v>0</v>
      </c>
      <c r="S17" s="19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x14ac:dyDescent="0.2">
      <c r="A18" s="2" t="s">
        <v>33</v>
      </c>
      <c r="B18" s="2" t="s">
        <v>18</v>
      </c>
      <c r="C18" s="7"/>
      <c r="D18" s="7"/>
      <c r="E18" s="154"/>
      <c r="F18" s="154"/>
      <c r="G18" s="8"/>
      <c r="H18" s="8"/>
      <c r="I18" s="154"/>
      <c r="J18" s="14"/>
      <c r="K18" s="8"/>
      <c r="L18" s="8"/>
      <c r="M18" s="154"/>
      <c r="N18" s="154"/>
      <c r="O18" s="9"/>
      <c r="P18" s="156" t="s">
        <v>10</v>
      </c>
      <c r="Q18" s="156" t="s">
        <v>11</v>
      </c>
      <c r="R18" s="3"/>
      <c r="S18" s="3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2.75" customHeight="1" x14ac:dyDescent="0.2">
      <c r="A19" s="2" t="s">
        <v>34</v>
      </c>
      <c r="B19" s="2" t="s">
        <v>18</v>
      </c>
      <c r="C19" s="7"/>
      <c r="D19" s="7"/>
      <c r="E19" s="154"/>
      <c r="F19" s="154"/>
      <c r="G19" s="8"/>
      <c r="H19" s="8"/>
      <c r="I19" s="154"/>
      <c r="J19" s="14"/>
      <c r="K19" s="8"/>
      <c r="L19" s="8"/>
      <c r="M19" s="154"/>
      <c r="N19" s="154"/>
      <c r="O19" s="9"/>
      <c r="P19" s="153">
        <v>1</v>
      </c>
      <c r="Q19" s="10"/>
      <c r="R19" s="21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x14ac:dyDescent="0.2">
      <c r="A20" s="2" t="s">
        <v>35</v>
      </c>
      <c r="B20" s="2" t="s">
        <v>18</v>
      </c>
      <c r="C20" s="7"/>
      <c r="D20" s="7"/>
      <c r="E20" s="154"/>
      <c r="F20" s="154"/>
      <c r="G20" s="8"/>
      <c r="H20" s="8"/>
      <c r="I20" s="154"/>
      <c r="J20" s="14"/>
      <c r="K20" s="8"/>
      <c r="L20" s="8"/>
      <c r="M20" s="154"/>
      <c r="N20" s="154"/>
      <c r="O20" s="9"/>
      <c r="P20" s="153">
        <v>2</v>
      </c>
      <c r="Q20" s="153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x14ac:dyDescent="0.2">
      <c r="A21" s="2" t="s">
        <v>36</v>
      </c>
      <c r="B21" s="2" t="s">
        <v>18</v>
      </c>
      <c r="C21" s="7"/>
      <c r="D21" s="7"/>
      <c r="E21" s="154"/>
      <c r="F21" s="154"/>
      <c r="G21" s="8"/>
      <c r="H21" s="8"/>
      <c r="I21" s="154"/>
      <c r="J21" s="14"/>
      <c r="K21" s="8"/>
      <c r="L21" s="8"/>
      <c r="M21" s="154"/>
      <c r="N21" s="154"/>
      <c r="O21" s="9"/>
      <c r="P21" s="153">
        <v>3</v>
      </c>
      <c r="Q21" s="153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x14ac:dyDescent="0.2">
      <c r="A22" s="2" t="s">
        <v>37</v>
      </c>
      <c r="B22" s="2" t="s">
        <v>18</v>
      </c>
      <c r="C22" s="7"/>
      <c r="D22" s="7"/>
      <c r="E22" s="154"/>
      <c r="F22" s="154"/>
      <c r="G22" s="8"/>
      <c r="H22" s="8"/>
      <c r="I22" s="154"/>
      <c r="J22" s="14"/>
      <c r="K22" s="8"/>
      <c r="L22" s="8"/>
      <c r="M22" s="154"/>
      <c r="N22" s="154"/>
      <c r="O22" s="9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x14ac:dyDescent="0.2">
      <c r="A23" s="2" t="s">
        <v>38</v>
      </c>
      <c r="B23" s="2" t="s">
        <v>18</v>
      </c>
      <c r="C23" s="7"/>
      <c r="D23" s="7"/>
      <c r="E23" s="154"/>
      <c r="F23" s="154"/>
      <c r="G23" s="8"/>
      <c r="H23" s="8"/>
      <c r="I23" s="154"/>
      <c r="J23" s="14"/>
      <c r="K23" s="8"/>
      <c r="L23" s="8"/>
      <c r="M23" s="154"/>
      <c r="N23" s="154"/>
      <c r="O23" s="9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x14ac:dyDescent="0.2">
      <c r="A24" s="2" t="s">
        <v>39</v>
      </c>
      <c r="B24" s="2" t="s">
        <v>18</v>
      </c>
      <c r="C24" s="7"/>
      <c r="D24" s="7"/>
      <c r="E24" s="154"/>
      <c r="F24" s="154"/>
      <c r="G24" s="8"/>
      <c r="H24" s="8"/>
      <c r="I24" s="154"/>
      <c r="J24" s="14"/>
      <c r="K24" s="8"/>
      <c r="L24" s="8"/>
      <c r="M24" s="154"/>
      <c r="N24" s="154"/>
      <c r="O24" s="9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x14ac:dyDescent="0.2">
      <c r="A25" s="2" t="s">
        <v>40</v>
      </c>
      <c r="B25" s="2" t="s">
        <v>18</v>
      </c>
      <c r="C25" s="7"/>
      <c r="D25" s="7"/>
      <c r="E25" s="154"/>
      <c r="F25" s="154"/>
      <c r="G25" s="8"/>
      <c r="H25" s="8"/>
      <c r="I25" s="154"/>
      <c r="J25" s="14"/>
      <c r="K25" s="8"/>
      <c r="L25" s="8"/>
      <c r="M25" s="154"/>
      <c r="N25" s="154"/>
      <c r="O25" s="9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x14ac:dyDescent="0.2">
      <c r="A26" s="2" t="s">
        <v>41</v>
      </c>
      <c r="B26" s="2" t="s">
        <v>18</v>
      </c>
      <c r="C26" s="7"/>
      <c r="D26" s="7"/>
      <c r="E26" s="154"/>
      <c r="F26" s="154"/>
      <c r="G26" s="8"/>
      <c r="H26" s="8"/>
      <c r="I26" s="154"/>
      <c r="J26" s="14"/>
      <c r="K26" s="8"/>
      <c r="L26" s="8"/>
      <c r="M26" s="154"/>
      <c r="N26" s="154"/>
      <c r="O26" s="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x14ac:dyDescent="0.2">
      <c r="A27" s="2" t="s">
        <v>42</v>
      </c>
      <c r="B27" s="2" t="s">
        <v>18</v>
      </c>
      <c r="C27" s="7"/>
      <c r="D27" s="7"/>
      <c r="E27" s="154"/>
      <c r="F27" s="154"/>
      <c r="G27" s="8"/>
      <c r="H27" s="8"/>
      <c r="I27" s="154"/>
      <c r="J27" s="14"/>
      <c r="K27" s="8"/>
      <c r="L27" s="8"/>
      <c r="M27" s="154"/>
      <c r="N27" s="154"/>
      <c r="O27" s="9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x14ac:dyDescent="0.2">
      <c r="A28" s="2" t="s">
        <v>43</v>
      </c>
      <c r="B28" s="2" t="s">
        <v>18</v>
      </c>
      <c r="C28" s="7"/>
      <c r="D28" s="7"/>
      <c r="E28" s="154"/>
      <c r="F28" s="154"/>
      <c r="G28" s="8"/>
      <c r="H28" s="8"/>
      <c r="I28" s="154"/>
      <c r="J28" s="14"/>
      <c r="K28" s="8"/>
      <c r="L28" s="8"/>
      <c r="M28" s="154"/>
      <c r="N28" s="154"/>
      <c r="O28" s="9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x14ac:dyDescent="0.2">
      <c r="A29" s="2" t="s">
        <v>44</v>
      </c>
      <c r="B29" s="2" t="s">
        <v>18</v>
      </c>
      <c r="C29" s="7"/>
      <c r="D29" s="7"/>
      <c r="E29" s="154"/>
      <c r="F29" s="154"/>
      <c r="G29" s="8"/>
      <c r="H29" s="8"/>
      <c r="I29" s="154"/>
      <c r="J29" s="14"/>
      <c r="K29" s="8"/>
      <c r="L29" s="8"/>
      <c r="M29" s="154"/>
      <c r="N29" s="154"/>
      <c r="O29" s="9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x14ac:dyDescent="0.2">
      <c r="A30" s="2" t="s">
        <v>45</v>
      </c>
      <c r="B30" s="2" t="s">
        <v>18</v>
      </c>
      <c r="C30" s="7"/>
      <c r="D30" s="7"/>
      <c r="E30" s="154"/>
      <c r="F30" s="154"/>
      <c r="G30" s="8"/>
      <c r="H30" s="8"/>
      <c r="I30" s="154"/>
      <c r="J30" s="14"/>
      <c r="K30" s="8"/>
      <c r="L30" s="8"/>
      <c r="M30" s="154"/>
      <c r="N30" s="154"/>
      <c r="O30" s="9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x14ac:dyDescent="0.2">
      <c r="A31" s="22" t="s">
        <v>46</v>
      </c>
      <c r="B31" s="22" t="s">
        <v>18</v>
      </c>
      <c r="C31" s="23"/>
      <c r="D31" s="23"/>
      <c r="E31" s="24"/>
      <c r="F31" s="24"/>
      <c r="G31" s="25"/>
      <c r="H31" s="25"/>
      <c r="I31" s="24"/>
      <c r="J31" s="26"/>
      <c r="K31" s="25"/>
      <c r="L31" s="25"/>
      <c r="M31" s="24"/>
      <c r="N31" s="24"/>
      <c r="O31" s="9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2.75" customHeight="1" x14ac:dyDescent="0.2">
      <c r="A32" s="27" t="s">
        <v>47</v>
      </c>
      <c r="B32" s="27" t="s">
        <v>18</v>
      </c>
      <c r="C32" s="28"/>
      <c r="D32" s="28"/>
      <c r="E32" s="29"/>
      <c r="F32" s="29"/>
      <c r="G32" s="30"/>
      <c r="H32" s="30"/>
      <c r="I32" s="29"/>
      <c r="J32" s="31"/>
      <c r="K32" s="30"/>
      <c r="L32" s="30"/>
      <c r="M32" s="29"/>
      <c r="N32" s="29"/>
      <c r="O32" s="9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x14ac:dyDescent="0.2">
      <c r="A33" s="2" t="s">
        <v>48</v>
      </c>
      <c r="B33" s="2" t="s">
        <v>18</v>
      </c>
      <c r="C33" s="7"/>
      <c r="D33" s="7"/>
      <c r="E33" s="154"/>
      <c r="F33" s="154"/>
      <c r="G33" s="8"/>
      <c r="H33" s="8"/>
      <c r="I33" s="154"/>
      <c r="J33" s="14"/>
      <c r="K33" s="8"/>
      <c r="L33" s="8"/>
      <c r="M33" s="154"/>
      <c r="N33" s="154"/>
      <c r="O33" s="9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x14ac:dyDescent="0.2">
      <c r="A34" s="2" t="s">
        <v>49</v>
      </c>
      <c r="B34" s="2" t="s">
        <v>18</v>
      </c>
      <c r="C34" s="7"/>
      <c r="D34" s="7"/>
      <c r="E34" s="154"/>
      <c r="F34" s="154"/>
      <c r="G34" s="8"/>
      <c r="H34" s="8"/>
      <c r="I34" s="154"/>
      <c r="J34" s="14"/>
      <c r="K34" s="8"/>
      <c r="L34" s="8"/>
      <c r="M34" s="154"/>
      <c r="N34" s="154"/>
    </row>
    <row r="35" spans="1:28" x14ac:dyDescent="0.2">
      <c r="A35" s="2" t="s">
        <v>50</v>
      </c>
      <c r="B35" s="2" t="s">
        <v>18</v>
      </c>
      <c r="C35" s="7"/>
      <c r="D35" s="7"/>
      <c r="E35" s="154"/>
      <c r="F35" s="154"/>
      <c r="G35" s="8"/>
      <c r="H35" s="8"/>
      <c r="I35" s="154"/>
      <c r="J35" s="14"/>
      <c r="K35" s="8"/>
      <c r="L35" s="8"/>
      <c r="M35" s="154"/>
      <c r="N35" s="154"/>
    </row>
    <row r="36" spans="1:28" x14ac:dyDescent="0.2">
      <c r="A36" s="2" t="s">
        <v>51</v>
      </c>
      <c r="B36" s="2" t="s">
        <v>18</v>
      </c>
      <c r="C36" s="7"/>
      <c r="D36" s="7"/>
      <c r="E36" s="154"/>
      <c r="F36" s="154"/>
      <c r="G36" s="8"/>
      <c r="H36" s="8"/>
      <c r="I36" s="154"/>
      <c r="J36" s="14"/>
      <c r="K36" s="8"/>
      <c r="L36" s="8"/>
      <c r="M36" s="154"/>
      <c r="N36" s="154"/>
    </row>
    <row r="37" spans="1:28" x14ac:dyDescent="0.2">
      <c r="A37" s="2" t="s">
        <v>52</v>
      </c>
      <c r="B37" s="2" t="s">
        <v>18</v>
      </c>
      <c r="C37" s="7"/>
      <c r="D37" s="7"/>
      <c r="E37" s="154"/>
      <c r="F37" s="154"/>
      <c r="G37" s="8"/>
      <c r="H37" s="8"/>
      <c r="I37" s="154"/>
      <c r="J37" s="14"/>
      <c r="K37" s="8"/>
      <c r="L37" s="8"/>
      <c r="M37" s="154"/>
      <c r="N37" s="154"/>
    </row>
    <row r="38" spans="1:28" x14ac:dyDescent="0.2">
      <c r="A38" s="2" t="s">
        <v>53</v>
      </c>
      <c r="B38" s="2" t="s">
        <v>18</v>
      </c>
      <c r="C38" s="7"/>
      <c r="D38" s="7"/>
      <c r="E38" s="154"/>
      <c r="F38" s="154"/>
      <c r="G38" s="8"/>
      <c r="H38" s="8"/>
      <c r="I38" s="154"/>
      <c r="J38" s="14"/>
      <c r="K38" s="8"/>
      <c r="L38" s="8"/>
      <c r="M38" s="154"/>
      <c r="N38" s="154"/>
    </row>
    <row r="39" spans="1:28" x14ac:dyDescent="0.2">
      <c r="A39" s="2" t="s">
        <v>54</v>
      </c>
      <c r="B39" s="2" t="s">
        <v>18</v>
      </c>
      <c r="C39" s="7"/>
      <c r="D39" s="7"/>
      <c r="E39" s="154"/>
      <c r="F39" s="154"/>
      <c r="G39" s="8"/>
      <c r="H39" s="8"/>
      <c r="I39" s="154"/>
      <c r="J39" s="14"/>
      <c r="K39" s="8"/>
      <c r="L39" s="8"/>
      <c r="M39" s="154"/>
      <c r="N39" s="154"/>
    </row>
    <row r="40" spans="1:28" x14ac:dyDescent="0.2">
      <c r="A40" s="2" t="s">
        <v>55</v>
      </c>
      <c r="B40" s="2" t="s">
        <v>18</v>
      </c>
      <c r="C40" s="7"/>
      <c r="D40" s="7"/>
      <c r="E40" s="154"/>
      <c r="F40" s="154"/>
      <c r="G40" s="8"/>
      <c r="H40" s="8"/>
      <c r="I40" s="154"/>
      <c r="J40" s="14"/>
      <c r="K40" s="8"/>
      <c r="L40" s="8"/>
      <c r="M40" s="154"/>
      <c r="N40" s="154"/>
    </row>
    <row r="41" spans="1:28" x14ac:dyDescent="0.2">
      <c r="A41" s="2" t="s">
        <v>56</v>
      </c>
      <c r="B41" s="2" t="s">
        <v>18</v>
      </c>
      <c r="C41" s="7"/>
      <c r="D41" s="7"/>
      <c r="E41" s="154"/>
      <c r="F41" s="154"/>
      <c r="G41" s="8"/>
      <c r="H41" s="8"/>
      <c r="I41" s="154"/>
      <c r="J41" s="14"/>
      <c r="K41" s="8"/>
      <c r="L41" s="8"/>
      <c r="M41" s="154"/>
      <c r="N41" s="154"/>
    </row>
    <row r="42" spans="1:28" x14ac:dyDescent="0.2">
      <c r="A42" s="2" t="s">
        <v>57</v>
      </c>
      <c r="B42" s="2" t="s">
        <v>18</v>
      </c>
      <c r="C42" s="7"/>
      <c r="D42" s="7"/>
      <c r="E42" s="154"/>
      <c r="F42" s="154"/>
      <c r="G42" s="8"/>
      <c r="H42" s="8"/>
      <c r="I42" s="154"/>
      <c r="J42" s="14"/>
      <c r="K42" s="8"/>
      <c r="L42" s="8"/>
      <c r="M42" s="154"/>
      <c r="N42" s="154"/>
    </row>
    <row r="43" spans="1:28" x14ac:dyDescent="0.2">
      <c r="A43" s="2" t="s">
        <v>58</v>
      </c>
      <c r="B43" s="2" t="s">
        <v>18</v>
      </c>
      <c r="C43" s="7"/>
      <c r="D43" s="7"/>
      <c r="E43" s="154"/>
      <c r="F43" s="154"/>
      <c r="G43" s="8"/>
      <c r="H43" s="8"/>
      <c r="I43" s="154"/>
      <c r="J43" s="14"/>
      <c r="K43" s="8"/>
      <c r="L43" s="8"/>
      <c r="M43" s="154"/>
      <c r="N43" s="154"/>
    </row>
    <row r="44" spans="1:28" x14ac:dyDescent="0.2">
      <c r="A44" s="2" t="s">
        <v>59</v>
      </c>
      <c r="B44" s="2" t="s">
        <v>18</v>
      </c>
      <c r="C44" s="7"/>
      <c r="D44" s="7"/>
      <c r="E44" s="154"/>
      <c r="F44" s="154"/>
      <c r="G44" s="8"/>
      <c r="H44" s="8"/>
      <c r="I44" s="154"/>
      <c r="J44" s="14"/>
      <c r="K44" s="8"/>
      <c r="L44" s="8"/>
      <c r="M44" s="154"/>
      <c r="N44" s="154"/>
    </row>
    <row r="45" spans="1:28" x14ac:dyDescent="0.2">
      <c r="A45" s="2" t="s">
        <v>60</v>
      </c>
      <c r="B45" s="2" t="s">
        <v>18</v>
      </c>
      <c r="C45" s="7"/>
      <c r="D45" s="7"/>
      <c r="E45" s="154"/>
      <c r="F45" s="154"/>
      <c r="G45" s="8"/>
      <c r="H45" s="8"/>
      <c r="I45" s="154"/>
      <c r="J45" s="14"/>
      <c r="K45" s="8"/>
      <c r="L45" s="8"/>
      <c r="M45" s="154"/>
      <c r="N45" s="154"/>
    </row>
    <row r="46" spans="1:28" x14ac:dyDescent="0.2">
      <c r="A46" s="2" t="s">
        <v>61</v>
      </c>
      <c r="B46" s="2" t="s">
        <v>18</v>
      </c>
      <c r="C46" s="7"/>
      <c r="D46" s="7"/>
      <c r="E46" s="154"/>
      <c r="F46" s="154"/>
      <c r="G46" s="8"/>
      <c r="H46" s="8"/>
      <c r="I46" s="154"/>
      <c r="J46" s="14"/>
      <c r="K46" s="8"/>
      <c r="L46" s="8"/>
      <c r="M46" s="154"/>
      <c r="N46" s="154"/>
    </row>
    <row r="47" spans="1:28" x14ac:dyDescent="0.2">
      <c r="A47" s="2" t="s">
        <v>62</v>
      </c>
      <c r="B47" s="2" t="s">
        <v>18</v>
      </c>
      <c r="C47" s="7"/>
      <c r="D47" s="7"/>
      <c r="E47" s="154"/>
      <c r="F47" s="154"/>
      <c r="G47" s="8"/>
      <c r="H47" s="8"/>
      <c r="I47" s="154"/>
      <c r="J47" s="14"/>
      <c r="K47" s="8"/>
      <c r="L47" s="8"/>
      <c r="M47" s="154"/>
      <c r="N47" s="154"/>
    </row>
    <row r="48" spans="1:28" x14ac:dyDescent="0.2">
      <c r="A48" s="2" t="s">
        <v>63</v>
      </c>
      <c r="B48" s="2" t="s">
        <v>18</v>
      </c>
      <c r="C48" s="7"/>
      <c r="D48" s="7"/>
      <c r="E48" s="154"/>
      <c r="F48" s="154"/>
      <c r="G48" s="8"/>
      <c r="H48" s="8"/>
      <c r="I48" s="154"/>
      <c r="J48" s="14"/>
      <c r="K48" s="8"/>
      <c r="L48" s="8"/>
      <c r="M48" s="154"/>
      <c r="N48" s="154"/>
    </row>
    <row r="49" spans="1:14" x14ac:dyDescent="0.2">
      <c r="A49" s="2" t="s">
        <v>64</v>
      </c>
      <c r="B49" s="2" t="s">
        <v>18</v>
      </c>
      <c r="C49" s="7"/>
      <c r="D49" s="7"/>
      <c r="E49" s="154"/>
      <c r="F49" s="154"/>
      <c r="G49" s="8"/>
      <c r="H49" s="8"/>
      <c r="I49" s="154"/>
      <c r="J49" s="14"/>
      <c r="K49" s="8"/>
      <c r="L49" s="8"/>
      <c r="M49" s="154"/>
      <c r="N49" s="154"/>
    </row>
    <row r="50" spans="1:14" x14ac:dyDescent="0.2">
      <c r="A50" s="2" t="s">
        <v>65</v>
      </c>
      <c r="B50" s="2" t="s">
        <v>18</v>
      </c>
      <c r="C50" s="7"/>
      <c r="D50" s="7"/>
      <c r="E50" s="154"/>
      <c r="F50" s="154"/>
      <c r="G50" s="8"/>
      <c r="H50" s="8"/>
      <c r="I50" s="154"/>
      <c r="J50" s="14"/>
      <c r="K50" s="8"/>
      <c r="L50" s="8"/>
      <c r="M50" s="154"/>
      <c r="N50" s="154"/>
    </row>
    <row r="51" spans="1:14" ht="12.75" customHeight="1" x14ac:dyDescent="0.2">
      <c r="A51" s="2" t="s">
        <v>66</v>
      </c>
      <c r="B51" s="2" t="s">
        <v>18</v>
      </c>
      <c r="C51" s="7"/>
      <c r="D51" s="7"/>
      <c r="E51" s="154"/>
      <c r="F51" s="154"/>
      <c r="G51" s="8"/>
      <c r="H51" s="8"/>
      <c r="I51" s="154"/>
      <c r="J51" s="14"/>
      <c r="K51" s="8"/>
      <c r="L51" s="8"/>
      <c r="M51" s="154"/>
      <c r="N51" s="154"/>
    </row>
    <row r="52" spans="1:14" x14ac:dyDescent="0.2">
      <c r="A52" s="2" t="s">
        <v>67</v>
      </c>
      <c r="B52" s="2" t="s">
        <v>18</v>
      </c>
      <c r="C52" s="7"/>
      <c r="D52" s="7"/>
      <c r="E52" s="154"/>
      <c r="F52" s="154"/>
      <c r="G52" s="8"/>
      <c r="H52" s="8"/>
      <c r="I52" s="154"/>
      <c r="J52" s="14"/>
      <c r="K52" s="8"/>
      <c r="L52" s="8"/>
      <c r="M52" s="154"/>
      <c r="N52" s="154"/>
    </row>
    <row r="53" spans="1:14" x14ac:dyDescent="0.2">
      <c r="A53" s="2" t="s">
        <v>68</v>
      </c>
      <c r="B53" s="2" t="s">
        <v>18</v>
      </c>
      <c r="C53" s="7"/>
      <c r="D53" s="7"/>
      <c r="E53" s="154"/>
      <c r="F53" s="154"/>
      <c r="G53" s="8"/>
      <c r="H53" s="8"/>
      <c r="I53" s="154"/>
      <c r="J53" s="14"/>
      <c r="K53" s="8"/>
      <c r="L53" s="8"/>
      <c r="M53" s="154"/>
      <c r="N53" s="154"/>
    </row>
    <row r="54" spans="1:14" ht="12.75" customHeight="1" x14ac:dyDescent="0.2">
      <c r="A54" s="2" t="s">
        <v>69</v>
      </c>
      <c r="B54" s="2" t="s">
        <v>18</v>
      </c>
      <c r="C54" s="7"/>
      <c r="D54" s="7"/>
      <c r="E54" s="154"/>
      <c r="F54" s="154"/>
      <c r="G54" s="8"/>
      <c r="H54" s="8"/>
      <c r="I54" s="154"/>
      <c r="J54" s="14"/>
      <c r="K54" s="8"/>
      <c r="L54" s="8"/>
      <c r="M54" s="154"/>
      <c r="N54" s="154"/>
    </row>
    <row r="55" spans="1:14" x14ac:dyDescent="0.2">
      <c r="A55" s="2" t="s">
        <v>70</v>
      </c>
      <c r="B55" s="2" t="s">
        <v>18</v>
      </c>
      <c r="C55" s="7"/>
      <c r="D55" s="7"/>
      <c r="E55" s="154"/>
      <c r="F55" s="154"/>
      <c r="G55" s="8"/>
      <c r="H55" s="8"/>
      <c r="I55" s="154"/>
      <c r="J55" s="14"/>
      <c r="K55" s="8"/>
      <c r="L55" s="8"/>
      <c r="M55" s="154"/>
      <c r="N55" s="154"/>
    </row>
    <row r="56" spans="1:14" x14ac:dyDescent="0.2">
      <c r="A56" s="2" t="s">
        <v>71</v>
      </c>
      <c r="B56" s="2" t="s">
        <v>18</v>
      </c>
      <c r="C56" s="7"/>
      <c r="D56" s="7"/>
      <c r="E56" s="154"/>
      <c r="F56" s="154"/>
      <c r="G56" s="8"/>
      <c r="H56" s="8"/>
      <c r="I56" s="154"/>
      <c r="J56" s="14"/>
      <c r="K56" s="8"/>
      <c r="L56" s="8"/>
      <c r="M56" s="154"/>
      <c r="N56" s="154"/>
    </row>
    <row r="57" spans="1:14" ht="12.75" customHeight="1" x14ac:dyDescent="0.2">
      <c r="A57" s="2" t="s">
        <v>72</v>
      </c>
      <c r="B57" s="2" t="s">
        <v>18</v>
      </c>
      <c r="C57" s="7"/>
      <c r="D57" s="7"/>
      <c r="E57" s="154"/>
      <c r="F57" s="154"/>
      <c r="G57" s="8"/>
      <c r="H57" s="8"/>
      <c r="I57" s="154"/>
      <c r="J57" s="14"/>
      <c r="K57" s="8"/>
      <c r="L57" s="8"/>
      <c r="M57" s="154"/>
      <c r="N57" s="154"/>
    </row>
    <row r="58" spans="1:14" x14ac:dyDescent="0.2">
      <c r="A58" s="32" t="s">
        <v>73</v>
      </c>
      <c r="B58" s="32" t="s">
        <v>18</v>
      </c>
      <c r="C58" s="33"/>
      <c r="D58" s="33"/>
      <c r="E58" s="15"/>
      <c r="F58" s="15"/>
      <c r="G58" s="34"/>
      <c r="H58" s="34"/>
      <c r="I58" s="15"/>
      <c r="J58" s="35"/>
      <c r="K58" s="34"/>
      <c r="L58" s="34"/>
      <c r="M58" s="15"/>
      <c r="N58" s="15"/>
    </row>
    <row r="59" spans="1:14" x14ac:dyDescent="0.2">
      <c r="A59" s="22" t="s">
        <v>74</v>
      </c>
      <c r="B59" s="22" t="s">
        <v>18</v>
      </c>
      <c r="C59" s="23"/>
      <c r="D59" s="23"/>
      <c r="E59" s="24"/>
      <c r="F59" s="24"/>
      <c r="G59" s="25"/>
      <c r="H59" s="25"/>
      <c r="I59" s="24"/>
      <c r="J59" s="26"/>
      <c r="K59" s="25"/>
      <c r="L59" s="25"/>
      <c r="M59" s="24"/>
      <c r="N59" s="24"/>
    </row>
    <row r="60" spans="1:14" x14ac:dyDescent="0.2">
      <c r="A60" s="36" t="s">
        <v>75</v>
      </c>
      <c r="B60" s="36" t="s">
        <v>18</v>
      </c>
      <c r="C60" s="37"/>
      <c r="D60" s="37"/>
      <c r="E60" s="38"/>
      <c r="F60" s="38"/>
      <c r="G60" s="39"/>
      <c r="H60" s="39"/>
      <c r="I60" s="38"/>
      <c r="J60" s="40"/>
      <c r="K60" s="39"/>
      <c r="L60" s="39"/>
      <c r="M60" s="38"/>
      <c r="N60" s="38"/>
    </row>
    <row r="61" spans="1:14" x14ac:dyDescent="0.2">
      <c r="A61" s="41" t="s">
        <v>76</v>
      </c>
      <c r="B61" s="41" t="s">
        <v>18</v>
      </c>
      <c r="C61" s="42"/>
      <c r="D61" s="42"/>
      <c r="E61" s="153"/>
      <c r="F61" s="153"/>
      <c r="G61" s="43"/>
      <c r="H61" s="43"/>
      <c r="I61" s="153"/>
      <c r="J61" s="44"/>
      <c r="K61" s="43"/>
      <c r="L61" s="43"/>
      <c r="M61" s="153"/>
      <c r="N61" s="153"/>
    </row>
    <row r="62" spans="1:14" x14ac:dyDescent="0.2">
      <c r="A62" s="41" t="s">
        <v>77</v>
      </c>
      <c r="B62" s="41" t="s">
        <v>18</v>
      </c>
      <c r="C62" s="42"/>
      <c r="D62" s="42"/>
      <c r="E62" s="153"/>
      <c r="F62" s="153"/>
      <c r="G62" s="43"/>
      <c r="H62" s="43"/>
      <c r="I62" s="153"/>
      <c r="J62" s="44"/>
      <c r="K62" s="43"/>
      <c r="L62" s="43"/>
      <c r="M62" s="153"/>
      <c r="N62" s="153"/>
    </row>
  </sheetData>
  <sheetProtection selectLockedCells="1" selectUnlockedCells="1"/>
  <mergeCells count="12">
    <mergeCell ref="C2:D2"/>
    <mergeCell ref="E2:F2"/>
    <mergeCell ref="G2:N2"/>
    <mergeCell ref="R2:U2"/>
    <mergeCell ref="W2:Y2"/>
    <mergeCell ref="Q14:R14"/>
    <mergeCell ref="Z2:AB2"/>
    <mergeCell ref="E3:F3"/>
    <mergeCell ref="G3:H3"/>
    <mergeCell ref="I3:J3"/>
    <mergeCell ref="K3:L3"/>
    <mergeCell ref="M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zoomScaleNormal="100" workbookViewId="0">
      <selection activeCell="F5" sqref="F5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4" width="28.42578125" style="66" bestFit="1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8.42578125" style="17" bestFit="1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9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9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161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9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9" ht="12" x14ac:dyDescent="0.2">
      <c r="A4" s="163" t="s">
        <v>204</v>
      </c>
      <c r="B4" s="163" t="s">
        <v>170</v>
      </c>
      <c r="C4" s="162" t="s">
        <v>205</v>
      </c>
      <c r="D4" s="90" t="s">
        <v>206</v>
      </c>
      <c r="E4" s="154">
        <v>1</v>
      </c>
      <c r="F4" s="154">
        <v>3</v>
      </c>
      <c r="G4" s="91">
        <v>18</v>
      </c>
      <c r="H4" s="91">
        <v>25</v>
      </c>
      <c r="I4" s="163">
        <v>15</v>
      </c>
      <c r="J4" s="163">
        <v>25</v>
      </c>
      <c r="K4" s="91">
        <v>25</v>
      </c>
      <c r="L4" s="91">
        <v>19</v>
      </c>
      <c r="M4" s="163">
        <v>18</v>
      </c>
      <c r="N4" s="163">
        <v>25</v>
      </c>
      <c r="O4" s="91">
        <v>0</v>
      </c>
      <c r="P4" s="91">
        <v>0</v>
      </c>
      <c r="Q4" s="163">
        <f>G4+I4+K4+M4+O4</f>
        <v>76</v>
      </c>
      <c r="R4" s="163">
        <f>H4+J4+L4+N4+P4</f>
        <v>94</v>
      </c>
      <c r="T4" s="162">
        <v>1</v>
      </c>
      <c r="U4" s="162" t="s">
        <v>209</v>
      </c>
      <c r="V4" s="99">
        <f t="shared" ref="V4:V13" si="0">AG4*3+AH4*3+AI4*2+AJ4*1</f>
        <v>27</v>
      </c>
      <c r="W4" s="104">
        <f t="shared" ref="W4:W13" si="1">X4+Y4+Z4</f>
        <v>9</v>
      </c>
      <c r="X4" s="104">
        <f>COUNTIF($E$5,"=3")+COUNTIF($F$11,"=3")+COUNTIF($E$17,"=3")+COUNTIF($F$23,"=3")+COUNTIF($F$28,"=3")+COUNTIF($E$32,"=3")+COUNTIF($F$36,"=3")+COUNTIF($E$40,"=3")+COUNTIF($F$44,"=3")</f>
        <v>9</v>
      </c>
      <c r="Y4" s="103">
        <f>SUM(IF($E$5&lt;$F$5,1,0))+SUM(IF($F$11&lt;$E$11,1,0))+SUM(IF($E$17&lt;$F$17,1,0))+SUM(IF($F$23&lt;$E$23,1,0))+SUM(IF($F$28&lt;$E$28,1,0))+SUM(IF($E$32&lt;$F$32,1,0))+SUM(IF($F$36&lt;$E$36,1,0))+SUM(IF($E$40&lt;$F$40,1,0))+SUM(IF($F$44&lt;$E$44,1,0))</f>
        <v>0</v>
      </c>
      <c r="Z4" s="98"/>
      <c r="AA4" s="93">
        <f>$E$5+$F$11+$E$17+$F$23+$F$28+$E$32+$F$36+$E$40+$F$44</f>
        <v>27</v>
      </c>
      <c r="AB4" s="93">
        <f>$F$5+$E$11+$F$17+$E$23+$E$28+$F$32+$E$36+$F$40+$E$44</f>
        <v>0</v>
      </c>
      <c r="AC4" s="163" t="str">
        <f t="shared" ref="AC4:AC13" si="2">IF(AB4=0,"MAX",AA4/AB4)</f>
        <v>MAX</v>
      </c>
      <c r="AD4" s="93">
        <f>$Q$5+$R$11+$Q$17+$R$23+$R$28+$Q$32+$R$36+$Q$40+$R$44</f>
        <v>678</v>
      </c>
      <c r="AE4" s="93">
        <f>$R$5+$Q$11+$Q$17+$Q$23+$Q$28+$R$32+$Q$36+$R$40+$Q$44</f>
        <v>416</v>
      </c>
      <c r="AF4" s="163">
        <f t="shared" ref="AF4:AF13" si="3">IF(AE4=0,"MAX",AD4/AE4)</f>
        <v>1.6298076923076923</v>
      </c>
      <c r="AG4" s="163">
        <f>SUM(IF(AND($E$5=3,$F$5=0),1,0))+SUM(IF(AND($F$11=3,$E$11=0),1,0))+SUM(IF(AND($E$17=3,$F$17=0),1,0))+SUM(IF(AND($F$23=3,$E$23=0),1,0))+SUM(IF(AND($F$28=3,$E$28=0),1,0))+SUM(IF(AND($E$32=3,$F$32=0),1,0))+SUM(IF(AND($F$36=3,$E$36=0),1,0))+SUM(IF(AND($E$40=3,$F$40=0),1,0))+SUM(IF(AND($F$44=3,$E$44=0),1,0))</f>
        <v>9</v>
      </c>
      <c r="AH4" s="163">
        <f>SUM(IF(AND($E$5=3,$F$5=1),1,0))+SUM(IF(AND($F$11=3,$E$11=1),1,0))+SUM(IF(AND($E$17=3,$F$17=1),1,0))+SUM(IF(AND($F$23=3,$E$23=1),1,0))+SUM(IF(AND($F$28=3,$E$28=1),1,0))+SUM(IF(AND($E$32=3,$F$32=1),1,0))+SUM(IF(AND($F$36=3,$E$36=1),1,0))+SUM(IF(AND($E$40=3,$F$40=1),1,0))+SUM(IF(AND($F$44=3,$E$44=1),1,0))</f>
        <v>0</v>
      </c>
      <c r="AI4" s="163">
        <f>SUM(IF(AND($E$5=3,$F$5=2),1,0))+SUM(IF(AND($F$11=3,$E$11=2),1,0))+SUM(IF(AND($E$17=3,$F$17=2),1,0))+SUM(IF(AND($F$23=3,$E$23=2),1,0))+SUM(IF(AND($F$28=3,$E$28=2),1,0))+SUM(IF(AND($E$32=3,$F$32=2),1,0))+SUM(IF(AND($F$36=3,$E$36=2),1,0))+SUM(IF(AND($E$40=3,$F$40=2),1,0))+SUM(IF(AND($F$44=3,$E$44=2),1,0))</f>
        <v>0</v>
      </c>
      <c r="AJ4" s="163">
        <f>SUM(IF(AND($E$5=2,$F$5=3),1,0))+SUM(IF(AND($F$11=2,$E$11=3),1,0))+SUM(IF(AND($E$17=2,$F$17=3),1,0))+SUM(IF(AND($F$23=2,$E$23=3),1,0))+SUM(IF(AND($F$28=2,$E$28=3),1,0))+SUM(IF(AND($E$32=2,$F$32=3),1,0))+SUM(IF(AND($F$36=2,$E$36=3),1,0))+SUM(IF(AND($E$40=2,$F$40=3),1,0))+SUM(IF(AND($F$44=2,$E$44=3),1,0))</f>
        <v>0</v>
      </c>
      <c r="AK4" s="163">
        <f>SUM(IF(AND($E$5=1,$F$5=3),1,0))+SUM(IF(AND($F$11=1,$E$11=3),1,0))+SUM(IF(AND($E$17=1,$F$17=3),1,0))+SUM(IF(AND($F$23=1,$E$23=3),1,0))+SUM(IF(AND($F$28=1,$E$28=3),1,0))+SUM(IF(AND($E$32=1,$F$32=3),1,0))+SUM(IF(AND($F$36=1,$E$36=3),1,0))+SUM(IF(AND($E$40=1,$F$40=3),1,0))+SUM(IF(AND($F$44=1,$E$44=3),1,0))</f>
        <v>0</v>
      </c>
      <c r="AL4" s="163">
        <f>SUM(IF(AND($E$5=0,$F$5=3),1,0))+SUM(IF(AND($F$11=0,$E$11=3),1,0))+SUM(IF(AND($E$17=0,$F$17=3),1,0))+SUM(IF(AND($F$23=0,$E$23=3),1,0))+SUM(IF(AND($F$28=0,$E$28=3),1,0))+SUM(IF(AND($E$32=0,$F$32=3),1,0))+SUM(IF(AND($F$36=0,$E$36=3),1,0))+SUM(IF(AND($E$40=0,$F$40=3),1,0))+SUM(IF(AND($F$44=0,$E$44=3),1,0))</f>
        <v>0</v>
      </c>
    </row>
    <row r="5" spans="1:39" ht="12" x14ac:dyDescent="0.2">
      <c r="A5" s="163" t="s">
        <v>208</v>
      </c>
      <c r="B5" s="163" t="s">
        <v>170</v>
      </c>
      <c r="C5" s="90" t="s">
        <v>209</v>
      </c>
      <c r="D5" s="90" t="s">
        <v>149</v>
      </c>
      <c r="E5" s="154">
        <v>3</v>
      </c>
      <c r="F5" s="154">
        <v>0</v>
      </c>
      <c r="G5" s="91">
        <v>25</v>
      </c>
      <c r="H5" s="91">
        <v>15</v>
      </c>
      <c r="I5" s="163">
        <v>25</v>
      </c>
      <c r="J5" s="163">
        <v>21</v>
      </c>
      <c r="K5" s="91">
        <v>25</v>
      </c>
      <c r="L5" s="91">
        <v>21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Q48" si="4">G5+I5+K5+M5+O5</f>
        <v>75</v>
      </c>
      <c r="R5" s="163">
        <f t="shared" ref="R5:R48" si="5">H5+J5+L5+N5+P5</f>
        <v>57</v>
      </c>
      <c r="T5" s="162">
        <v>2</v>
      </c>
      <c r="U5" s="92" t="s">
        <v>149</v>
      </c>
      <c r="V5" s="99">
        <f t="shared" si="0"/>
        <v>24</v>
      </c>
      <c r="W5" s="104">
        <f t="shared" si="1"/>
        <v>9</v>
      </c>
      <c r="X5" s="104">
        <f>COUNTIF($F$5,"=3")+COUNTIF($E$9,"=3")+COUNTIF($E$15,"=3")+COUNTIF($F$21,"=3")+COUNTIF($E$27,"=3")+COUNTIF($F$33,"=3")+COUNTIF($F$38,"=3")+COUNTIF($E$42,"=3")+COUNTIF($F$46,"=3")</f>
        <v>8</v>
      </c>
      <c r="Y5" s="103">
        <f>SUM(IF($F$5&lt;$E$5,1,0))+SUM(IF($E$9&lt;$F$9,1,0))+SUM(IF($E$15&lt;$F$15,1,0))+SUM(IF($F$21&lt;$E$21,1,0))+SUM(IF($E$27&lt;$F$27,1,0))+SUM(IF($F$33&lt;$E$33,1,0))+SUM(IF($F$38&lt;$E$38,1,0))+SUM(IF($E$42&lt;$F$42,1,0))+SUM(IF($F$46&lt;$E$46,1,0))</f>
        <v>1</v>
      </c>
      <c r="Z5" s="101"/>
      <c r="AA5" s="93">
        <f>$F$5+$E$9+$E$15+$F$21+$E$27+$F$33+$F$38+$E$42+$F$46</f>
        <v>24</v>
      </c>
      <c r="AB5" s="93">
        <f>$E$5+$F$9+$F$15+$E$21+$F$27+$E$33+$E$38+$F$42+$E$46</f>
        <v>6</v>
      </c>
      <c r="AC5" s="163">
        <f t="shared" si="2"/>
        <v>4</v>
      </c>
      <c r="AD5" s="93">
        <f>$R$5+$Q$9+$Q$15+$R$21+$Q$27+$R$33+$R$38+$Q$42+$R$46</f>
        <v>722</v>
      </c>
      <c r="AE5" s="93">
        <f>$Q$5+$R$9+$R$15+$Q$21+$R$27+$Q$33+$Q$38+$R$42+$Q$46</f>
        <v>542</v>
      </c>
      <c r="AF5" s="163">
        <f t="shared" si="3"/>
        <v>1.3321033210332103</v>
      </c>
      <c r="AG5" s="163">
        <f>SUM(IF(AND($F$5=3,$E$5=0),1,0))+SUM(IF(AND($E$9=3,$F$9=0),1,0))+SUM(IF(AND($E$15=3,$F$15=0),1,0))+SUM(IF(AND($F$21=3,$E$21=0),1,0))+SUM(IF(AND($E$27=3,$F$27=0),1,0))+SUM(IF(AND($F$33=3,$E$33=0),1,0))+SUM(IF(AND($F$38=3,$E$38=0),1,0))+SUM(IF(AND($E$42=3,$F$42=0),1,0))+SUM(IF(AND($F$46=3,$E$46=0),1,0))</f>
        <v>5</v>
      </c>
      <c r="AH5" s="163">
        <f>SUM(IF(AND($F$5=3,$E$5=1),1,0))+SUM(IF(AND($E$9=3,$F$9=1),1,0))+SUM(IF(AND($E$15=3,$F$15=1),1,0))+SUM(IF(AND($F$21=3,$E$21=1),1,0))+SUM(IF(AND($E$27=3,$F$27=1),1,0))+SUM(IF(AND($F$33=3,$E$33=1),1,0))+SUM(IF(AND($F$38=3,$E$38=1),1,0))+SUM(IF(AND($E$42=3,$F$42=1),1,0))+SUM(IF(AND($F$46=3,$E$46=1),1,0))</f>
        <v>3</v>
      </c>
      <c r="AI5" s="163">
        <f>SUM(IF(AND($F$5=3,$E$5=2),1,0))+SUM(IF(AND($E$9=3,$F$9=2),1,0))+SUM(IF(AND($E$15=3,$F$15=2),1,0))+SUM(IF(AND($F$21=3,$E$21=2),1,0))+SUM(IF(AND($E$27=3,$F$27=2),1,0))+SUM(IF(AND($F$33=3,$E$33=2),1,0))+SUM(IF(AND($F$38=3,$E$38=2),1,0))+SUM(IF(AND($E$42=3,$F$42=2),1,0))+SUM(IF(AND($F$46=3,$E$46=2),1,0))</f>
        <v>0</v>
      </c>
      <c r="AJ5" s="163">
        <f>SUM(IF(AND($F$5=2,$E$5=3),1,0))+SUM(IF(AND($E$9=2,$F$9=3),1,0))+SUM(IF(AND($E$15=2,$F$15=3),1,0))+SUM(IF(AND($F$21=2,$E$21=3),1,0))+SUM(IF(AND($E$27=2,$F$27=3),1,0))+SUM(IF(AND($F$33=2,$E$33=3),1,0))+SUM(IF(AND($F$38=2,$E$38=3),1,0))+SUM(IF(AND($E$42=2,$F$42=3),1,0))+SUM(IF(AND($F$46=2,$E$46=3),1,0))</f>
        <v>0</v>
      </c>
      <c r="AK5" s="163">
        <f>SUM(IF(AND($F$5=1,$E$5=3),1,0))+SUM(IF(AND($E$9=1,$F$9=3),1,0))+SUM(IF(AND($E$15=1,$F$15=3),1,0))+SUM(IF(AND($F$21=1,$E$21=3),1,0))+SUM(IF(AND($E$27=1,$F$27=3),1,0))+SUM(IF(AND($F$33=1,$E$33=3),1,0))+SUM(IF(AND($F$38=1,$E$38=3),1,0))+SUM(IF(AND($E$42=1,$F$42=3),1,0))+SUM(IF(AND($F$46=1,$E$46=3),1,0))</f>
        <v>0</v>
      </c>
      <c r="AL5" s="163">
        <f>SUM(IF(AND($F$5=0,$E$5=3),1,0))+SUM(IF(AND($E$9=0,$F$9=3),1,0))+SUM(IF(AND($E$15=0,$F$15=3),1,0))+SUM(IF(AND($F$21=0,$E$21=3),1,0))+SUM(IF(AND($E$27=0,$F$27=3),1,0))+SUM(IF(AND($F$33=0,$E$33=3),1,0))+SUM(IF(AND($F$38=0,$E$38=3),1,0))+SUM(IF(AND($E$42=0,$F$42=3),1,0))+SUM(IF(AND($F$46=0,$E$46=3),1,0))</f>
        <v>1</v>
      </c>
    </row>
    <row r="6" spans="1:39" ht="12" x14ac:dyDescent="0.2">
      <c r="A6" s="163" t="s">
        <v>210</v>
      </c>
      <c r="B6" s="163" t="s">
        <v>170</v>
      </c>
      <c r="C6" s="162" t="s">
        <v>174</v>
      </c>
      <c r="D6" s="90" t="s">
        <v>150</v>
      </c>
      <c r="E6" s="154">
        <v>0</v>
      </c>
      <c r="F6" s="154">
        <v>3</v>
      </c>
      <c r="G6" s="91">
        <v>11</v>
      </c>
      <c r="H6" s="91">
        <v>25</v>
      </c>
      <c r="I6" s="163">
        <v>8</v>
      </c>
      <c r="J6" s="163">
        <v>25</v>
      </c>
      <c r="K6" s="91">
        <v>25</v>
      </c>
      <c r="L6" s="91">
        <v>14</v>
      </c>
      <c r="M6" s="163">
        <v>0</v>
      </c>
      <c r="N6" s="163">
        <v>0</v>
      </c>
      <c r="O6" s="91">
        <v>0</v>
      </c>
      <c r="P6" s="91">
        <v>0</v>
      </c>
      <c r="Q6" s="163">
        <f t="shared" si="4"/>
        <v>44</v>
      </c>
      <c r="R6" s="163">
        <f t="shared" si="5"/>
        <v>64</v>
      </c>
      <c r="T6" s="162">
        <v>3</v>
      </c>
      <c r="U6" s="170" t="s">
        <v>150</v>
      </c>
      <c r="V6" s="99">
        <f t="shared" si="0"/>
        <v>21</v>
      </c>
      <c r="W6" s="104">
        <f t="shared" si="1"/>
        <v>9</v>
      </c>
      <c r="X6" s="104">
        <f>COUNTIF($F$6,"=3")+COUNTIF($E$10,"=3")+COUNTIF($F$14,"=3")+COUNTIF($F$20,"=3")+COUNTIF($E$26,"=3")+COUNTIF($F$32,"=3")+COUNTIF($E$38,"=3")+COUNTIF($E$43,"=3")+COUNTIF($F$47,"=3")</f>
        <v>7</v>
      </c>
      <c r="Y6" s="103">
        <f>SUM(IF($F$6&lt;$E$6,1,0))+SUM(IF($E$10&lt;$F$10,1,0))+SUM(IF($F$14&lt;$E$14,1,0))+SUM(IF($F$20&lt;$E$20,1,0))+SUM(IF($E$26&lt;$F$26,1,0))+SUM(IF($F$32&lt;$E$32,1,0))+SUM(IF($E$38&lt;$F$38,1,0))+SUM(IF($E$43&lt;$F$43,1,0))+SUM(IF($F$47&lt;$E$47,1,0))</f>
        <v>2</v>
      </c>
      <c r="Z6" s="98"/>
      <c r="AA6" s="93">
        <f>$F$6+$E$10+$F$14+$F$20+$E$26+$F$32+$E$38+$E$43+$F$47</f>
        <v>21</v>
      </c>
      <c r="AB6" s="93">
        <f>$E$6+$F$10+$E$14+$E$20+$F$26+$E$32+$F$38+$F$43+$E$47</f>
        <v>6</v>
      </c>
      <c r="AC6" s="163">
        <f t="shared" si="2"/>
        <v>3.5</v>
      </c>
      <c r="AD6" s="93">
        <f>$R$6+$Q$10+$R$14+$R$20+$Q$26+$R$32+$Q$38+$Q$43+$R$47</f>
        <v>624</v>
      </c>
      <c r="AE6" s="93">
        <f>$Q$6+$R$10+$Q$14+$Q$20+$R$26+$Q$32+$R$38+$R$43+$Q$47</f>
        <v>458</v>
      </c>
      <c r="AF6" s="163">
        <f t="shared" si="3"/>
        <v>1.3624454148471616</v>
      </c>
      <c r="AG6" s="163">
        <f>SUM(IF(AND($F$6=3,$E$6=0),1,0))+SUM(IF(AND($E$10=3,$F$10=0),1,0))+SUM(IF(AND($F$14=3,$E$14=0),1,0))+SUM(IF(AND($F$20=3,$E$20=0),1,0))+SUM(IF(AND($E$26=3,$F$26=0),1,0))+SUM(IF(AND($F$32=3,$E$32=0),1,0))+SUM(IF(AND($E$38=3,$F$38=0),1,0))+SUM(IF(AND($E$43=3,$F$43=0),1,0))+SUM(IF(AND($F$47=3,$E$47=0),1,0))</f>
        <v>7</v>
      </c>
      <c r="AH6" s="163">
        <f>SUM(IF(AND($F$6=3,$E$6=1),1,0))+SUM(IF(AND($E$10=3,$F$10=1),1,0))+SUM(IF(AND($F$14=3,$E$14=1),1,0))+SUM(IF(AND($F$20=3,$E$20=1),1,0))+SUM(IF(AND($E$26=3,$F$26=1),1,0))+SUM(IF(AND($F$32=3,$E$32=1),1,0))+SUM(IF(AND($E$38=3,$F$38=1),1,0))+SUM(IF(AND($E$43=3,$F$43=1),1,0))+SUM(IF(AND($F$47=3,$E$47=1),1,0))</f>
        <v>0</v>
      </c>
      <c r="AI6" s="163">
        <f>SUM(IF(AND($F$6=3,$E$6=2),1,0))+SUM(IF(AND($E$10=3,$F$10=2),1,0))+SUM(IF(AND($F$14=3,$E$14=2),1,0))+SUM(IF(AND($F$20=3,$E$20=2),1,0))+SUM(IF(AND($E$26=3,$F$26=2),1,0))+SUM(IF(AND($F$32=3,$E$32=2),1,0))+SUM(IF(AND($E$38=3,$F$38=2),1,0))+SUM(IF(AND($E$43=3,$F$43=2),1,0))+SUM(IF(AND($F$47=3,$E$47=2),1,0))</f>
        <v>0</v>
      </c>
      <c r="AJ6" s="163">
        <f>SUM(IF(AND($F$6=2,$E$6=3),1,0))+SUM(IF(AND($E$10=2,$F$10=3),1,0))+SUM(IF(AND($F$14=2,$E$14=3),1,0))+SUM(IF(AND($F$20=2,$E$20=3),1,0))+SUM(IF(AND($E$26=2,$F$26=3),1,0))+SUM(IF(AND($F$32=2,$E$32=3),1,0))+SUM(IF(AND($E$38=2,$F$38=3),1,0))+SUM(IF(AND($E$43=2,$F$43=3),1,0))+SUM(IF(AND($F$47=2,$E$47=3),1,0))</f>
        <v>0</v>
      </c>
      <c r="AK6" s="163">
        <f>SUM(IF(AND($F$6=1,$E$6=3),1,0))+SUM(IF(AND($E$10=1,$F$10=3),1,0))+SUM(IF(AND($F$14=1,$E$14=3),1,0))+SUM(IF(AND($F$20=1,$E$20=3),1,0))+SUM(IF(AND($E$26=1,$F$26=3),1,0))+SUM(IF(AND($F$32=1,$E$32=3),1,0))+SUM(IF(AND($E$38=1,$F$38=3),1,0))+SUM(IF(AND($E$43=1,$F$43=3),1,0))+SUM(IF(AND($F$47=1,$E$47=3),1,0))</f>
        <v>0</v>
      </c>
      <c r="AL6" s="163">
        <f>SUM(IF(AND($F$6=0,$E$6=3),1,0))+SUM(IF(AND($E$10=0,$F$10=3),1,0))+SUM(IF(AND($F$14=0,$E$14=3),1,0))+SUM(IF(AND($F$20=0,$E$20=3),1,0))+SUM(IF(AND($E$26=0,$F$26=3),1,0))+SUM(IF(AND($F$32=0,$E$32=3),1,0))+SUM(IF(AND($E$38=0,$F$38=3),1,0))+SUM(IF(AND($E$43=0,$F$43=3),1,0))+SUM(IF(AND($F$47=0,$E$47=3),1,0))</f>
        <v>2</v>
      </c>
    </row>
    <row r="7" spans="1:39" ht="12" x14ac:dyDescent="0.2">
      <c r="A7" s="163" t="s">
        <v>211</v>
      </c>
      <c r="B7" s="163" t="s">
        <v>170</v>
      </c>
      <c r="C7" s="90" t="s">
        <v>212</v>
      </c>
      <c r="D7" s="92" t="s">
        <v>207</v>
      </c>
      <c r="E7" s="154">
        <v>3</v>
      </c>
      <c r="F7" s="154">
        <v>0</v>
      </c>
      <c r="G7" s="91">
        <v>25</v>
      </c>
      <c r="H7" s="91">
        <v>20</v>
      </c>
      <c r="I7" s="163">
        <v>25</v>
      </c>
      <c r="J7" s="163">
        <v>22</v>
      </c>
      <c r="K7" s="91">
        <v>27</v>
      </c>
      <c r="L7" s="91">
        <v>25</v>
      </c>
      <c r="M7" s="163">
        <v>0</v>
      </c>
      <c r="N7" s="163">
        <v>0</v>
      </c>
      <c r="O7" s="91">
        <v>0</v>
      </c>
      <c r="P7" s="91">
        <v>0</v>
      </c>
      <c r="Q7" s="163">
        <f t="shared" si="4"/>
        <v>77</v>
      </c>
      <c r="R7" s="163">
        <f t="shared" si="5"/>
        <v>67</v>
      </c>
      <c r="T7" s="162">
        <v>4</v>
      </c>
      <c r="U7" s="168" t="s">
        <v>206</v>
      </c>
      <c r="V7" s="99">
        <f t="shared" si="0"/>
        <v>13</v>
      </c>
      <c r="W7" s="104">
        <f t="shared" si="1"/>
        <v>9</v>
      </c>
      <c r="X7" s="104">
        <f>COUNTIF($F$4,"=3")+COUNTIF($F$10,"=3")+COUNTIF($E$16,"=3")+COUNTIF($F$22,"=3")+COUNTIF($E$28,"=3")+COUNTIF($E$33,"=3")+COUNTIF($F$37,"=3")+COUNTIF($E$41,"=3")+COUNTIF($F$45,"=3")</f>
        <v>5</v>
      </c>
      <c r="Y7" s="103">
        <f>SUM(IF($F$4&lt;$E$4,1,0))+SUM(IF($F$10&lt;$E$10,1,0))+SUM(IF($E$16&lt;$F$16,1,0))+SUM(IF($F$22&lt;$E$22,1,0))+SUM(IF($E$28&lt;$F$28,1,0))+SUM(IF($E$33&lt;$F$33,1,0))+SUM(IF($F$37&lt;$E$37,1,0))+SUM(IF($E$41&lt;$F$41,1,0))+SUM(IF($F$45&lt;$E$45,1,0))</f>
        <v>4</v>
      </c>
      <c r="Z7" s="98"/>
      <c r="AA7" s="93">
        <f>$F$4+$F$10+$E$16+$F$22+$E$28+$E$33+$F$37+$E$41+$F$45</f>
        <v>17</v>
      </c>
      <c r="AB7" s="93">
        <f>$E$4+$E$10+$F$16+$E$22+$F$28+$F$33+$E$37+$F$41+$E$45</f>
        <v>18</v>
      </c>
      <c r="AC7" s="163">
        <f t="shared" si="2"/>
        <v>0.94444444444444442</v>
      </c>
      <c r="AD7" s="93">
        <f>$R$4+$R$10+$Q$16+$R$22+$Q$28+$Q$33+$R$37+$Q$41+$R$45</f>
        <v>733</v>
      </c>
      <c r="AE7" s="93">
        <f>$Q$4+$Q$10+$R$16+$Q$22+$R$28+$R$33+$Q$37+$R$41+$Q$45</f>
        <v>697</v>
      </c>
      <c r="AF7" s="163">
        <f t="shared" si="3"/>
        <v>1.0516499282639886</v>
      </c>
      <c r="AG7" s="163">
        <f>SUM(IF(AND($F$4=3,$E$4=0),1,0))+SUM(IF(AND($F$10=3,$E$10=0),1,0))+SUM(IF(AND($E$16=3,$F$16=0),1,0))+SUM(IF(AND($F$22=3,$E$22=0),1,0))+SUM(IF(AND($E$28=3,$F$28=0),1,0))+SUM(IF(AND($E$33=3,$F$33=0),1,0))+SUM(IF(AND($F$37=3,$E$37=0),1,0))+SUM(IF(AND($E$41=3,$F$41=0),1,0))+SUM(IF(AND($F$45=3,$E$45=0),1,0))</f>
        <v>1</v>
      </c>
      <c r="AH7" s="163">
        <f>SUM(IF(AND($F$4=3,$E$4=1),1,0))+SUM(IF(AND($F$10=3,$E$10=1),1,0))+SUM(IF(AND($E$16=3,$F$16=1),1,0))+SUM(IF(AND($F$22=3,$E$22=1),1,0))+SUM(IF(AND($E$28=3,$F$28=1),1,0))+SUM(IF(AND($E$33=3,$F$33=1),1,0))+SUM(IF(AND($F$37=3,$E$37=1),1,0))+SUM(IF(AND($E$41=3,$F$41=1),1,0))+SUM(IF(AND($F$45=3,$E$45=1),1,0))</f>
        <v>2</v>
      </c>
      <c r="AI7" s="163">
        <f>SUM(IF(AND($F$4=3,$E$4=2),1,0))+SUM(IF(AND($F$10=3,$E$10=2),1,0))+SUM(IF(AND($E$16=3,$F$16=2),1,0))+SUM(IF(AND($F$22=3,$E$22=2),1,0))+SUM(IF(AND($E$28=3,$F$28=2),1,0))+SUM(IF(AND($E$33=3,$F$33=2),1,0))+SUM(IF(AND($F$37=3,$E$37=2),1,0))+SUM(IF(AND($E$41=3,$F$41=2),1,0))+SUM(IF(AND($F$45=3,$E$45=2),1,0))</f>
        <v>2</v>
      </c>
      <c r="AJ7" s="163">
        <f>SUM(IF(AND($F$4=2,$E$4=3),1,0))+SUM(IF(AND($F$10=2,$E$10=3),1,0))+SUM(IF(AND($E$16=2,$F$16=3),1,0))+SUM(IF(AND($F$22=2,$E$22=3),1,0))+SUM(IF(AND($E$28=2,$F$28=3),1,0))+SUM(IF(AND($E$33=2,$F$33=3),1,0))+SUM(IF(AND($F$37=2,$E$37=3),1,0))+SUM(IF(AND($E$41=2,$F$41=3),1,0))+SUM(IF(AND($F$45=2,$E$45=3),1,0))</f>
        <v>0</v>
      </c>
      <c r="AK7" s="163">
        <f>SUM(IF(AND($F$4=1,$E$4=3),1,0))+SUM(IF(AND($F$10=1,$E$10=3),1,0))+SUM(IF(AND($E$16=1,$F$16=3),1,0))+SUM(IF(AND($F$22=1,$E$22=3),1,0))+SUM(IF(AND($E$28=1,$F$28=3),1,0))+SUM(IF(AND($E$33=1,$F$33=3),1,0))+SUM(IF(AND($F$37=1,$E$37=3),1,0))+SUM(IF(AND($E$41=1,$F$41=3),1,0))+SUM(IF(AND($F$45=1,$E$45=3),1,0))</f>
        <v>2</v>
      </c>
      <c r="AL7" s="163">
        <f>SUM(IF(AND($F$4=0,$E$4=3),1,0))+SUM(IF(AND($F$10=0,$E$10=3),1,0))+SUM(IF(AND($E$16=0,$F$16=3),1,0))+SUM(IF(AND($F$22=0,$E$22=3),1,0))+SUM(IF(AND($E$28=0,$F$28=3),1,0))+SUM(IF(AND($E$33=0,$F$33=3),1,0))+SUM(IF(AND($F$37=0,$E$37=3),1,0))+SUM(IF(AND($E$41=0,$F$41=3),1,0))+SUM(IF(AND($F$45=0,$E$45=3),1,0))</f>
        <v>2</v>
      </c>
    </row>
    <row r="8" spans="1:39" thickBot="1" x14ac:dyDescent="0.25">
      <c r="A8" s="163" t="s">
        <v>213</v>
      </c>
      <c r="B8" s="163" t="s">
        <v>170</v>
      </c>
      <c r="C8" s="90" t="s">
        <v>172</v>
      </c>
      <c r="D8" s="90" t="s">
        <v>153</v>
      </c>
      <c r="E8" s="154">
        <v>2</v>
      </c>
      <c r="F8" s="154">
        <v>3</v>
      </c>
      <c r="G8" s="91">
        <v>25</v>
      </c>
      <c r="H8" s="91">
        <v>23</v>
      </c>
      <c r="I8" s="163">
        <v>20</v>
      </c>
      <c r="J8" s="94">
        <v>25</v>
      </c>
      <c r="K8" s="91">
        <v>25</v>
      </c>
      <c r="L8" s="91">
        <v>15</v>
      </c>
      <c r="M8" s="163">
        <v>19</v>
      </c>
      <c r="N8" s="163">
        <v>25</v>
      </c>
      <c r="O8" s="91">
        <v>10</v>
      </c>
      <c r="P8" s="91">
        <v>15</v>
      </c>
      <c r="Q8" s="163">
        <f t="shared" si="4"/>
        <v>99</v>
      </c>
      <c r="R8" s="163">
        <f t="shared" si="5"/>
        <v>103</v>
      </c>
      <c r="T8" s="179">
        <v>5</v>
      </c>
      <c r="U8" s="179" t="s">
        <v>212</v>
      </c>
      <c r="V8" s="180">
        <f t="shared" si="0"/>
        <v>11</v>
      </c>
      <c r="W8" s="181">
        <f t="shared" si="1"/>
        <v>9</v>
      </c>
      <c r="X8" s="181">
        <f>COUNTIF($E$7,"=3")+COUNTIF($F$13,"=3")+COUNTIF($F$18,"=3")+COUNTIF($E$22,"=3")+COUNTIF($F$26,"=3")+COUNTIF($E$30,"=3")+COUNTIF($F$34,"=3")+COUNTIF($F$40,"=3")+COUNTIF($E$46,"=3")</f>
        <v>3</v>
      </c>
      <c r="Y8" s="182">
        <f>SUM(IF($E$7&lt;$F$7,1,0))+SUM(IF($F$13&lt;$E$13,1,0))+SUM(IF($F$18&lt;$E$18,1,0))+SUM(IF($E$22&lt;$F$22,1,0))+SUM(IF($F$26&lt;$E$26,1,0))+SUM(IF($E$30&lt;$F$30,1,0))+SUM(IF($F$34&lt;$E$34,1,0))+SUM(IF($F$40&lt;$E$40,1,0))+SUM(IF($E$46&lt;$F$46,1,0))</f>
        <v>6</v>
      </c>
      <c r="Z8" s="183"/>
      <c r="AA8" s="184">
        <f>$E$7+$F$13+$F$18+$E$22+$F$26+$E$30+$F$34+$F$40+$E$46</f>
        <v>13</v>
      </c>
      <c r="AB8" s="184">
        <f>$F$7+$E$13+$E$18+$F$22+$E$26+$F$30+$E$34+$E$40+$F$46</f>
        <v>19</v>
      </c>
      <c r="AC8" s="185">
        <f t="shared" si="2"/>
        <v>0.68421052631578949</v>
      </c>
      <c r="AD8" s="184">
        <f>$Q$7+$R$13+$R$18+$Q$22+$R$26+$Q$30+$R$34+$R$40+$Q$46</f>
        <v>643</v>
      </c>
      <c r="AE8" s="184">
        <f>$R$7+$Q$13+$Q$18+$R$22+$Q$26+$R$30+$Q$34+$Q$40+$R$46</f>
        <v>705</v>
      </c>
      <c r="AF8" s="185">
        <f t="shared" si="3"/>
        <v>0.91205673758865247</v>
      </c>
      <c r="AG8" s="185">
        <f>SUM(IF(AND($E$7=3,$F$7=0),1,0))+SUM(IF(AND($F$13=3,$E$13=0),1,0))+SUM(IF(AND($F$18=3,$E$18=0),1,0))+SUM(IF(AND($E$22=3,$F$22=0),1,0))+SUM(IF(AND($F$26=3,$E$26=0),1,0))+SUM(IF(AND($E$30=3,$F$30=0),1,0))+SUM(IF(AND($F$34=3,$E$34=0),1,0))+SUM(IF(AND($F$30=3,$E$40=0),1,0))+SUM(IF(AND($E$46=3,$F$46=0),1,0))</f>
        <v>2</v>
      </c>
      <c r="AH8" s="185">
        <f>SUM(IF(AND($E$7=3,$F$7=1),1,0))+SUM(IF(AND($F$13=3,$E$13=1),1,0))+SUM(IF(AND($F$18=3,$E$18=1),1,0))+SUM(IF(AND($E$22=3,$F$22=1),1,0))+SUM(IF(AND($F$26=3,$E$26=1),1,0))+SUM(IF(AND($E$30=3,$F$30=1),1,0))+SUM(IF(AND($F$34=3,$E$34=1),1,0))+SUM(IF(AND($F$30=3,$E$40=1),1,0))+SUM(IF(AND($E$46=3,$F$46=1),1,0))</f>
        <v>1</v>
      </c>
      <c r="AI8" s="185">
        <f>SUM(IF(AND($E$7=3,$F$7=2),1,0))+SUM(IF(AND($F$13=3,$E$13=2),1,0))+SUM(IF(AND($F$18=3,$E$18=2),1,0))+SUM(IF(AND($E$22=3,$F$22=2),1,0))+SUM(IF(AND($F$26=3,$E$26=2),1,0))+SUM(IF(AND($E$30=3,$F$30=2),1,0))+SUM(IF(AND($F$34=3,$E$34=2),1,0))+SUM(IF(AND($F$30=3,$E$40=2),1,0))+SUM(IF(AND($E$46=3,$F$46=2),1,0))</f>
        <v>0</v>
      </c>
      <c r="AJ8" s="185">
        <f>SUM(IF(AND($E$7=2,$F$7=3),1,0))+SUM(IF(AND($F$13=2,$E$13=3),1,0))+SUM(IF(AND($F$18=2,$E$18=3),1,0))+SUM(IF(AND($E$22=2,$F$22=3),1,0))+SUM(IF(AND($F$26=2,$E$26=3),1,0))+SUM(IF(AND($E$30=2,$F$30=3),1,0))+SUM(IF(AND($F$34=2,$E$34=3),1,0))+SUM(IF(AND($F$30=2,$E$40=3),1,0))+SUM(IF(AND($E$46=2,$F$46=3),1,0))</f>
        <v>2</v>
      </c>
      <c r="AK8" s="185">
        <f>SUM(IF(AND($E$7=1,$F$7=3),1,0))+SUM(IF(AND($F$13=1,$E$13=3),1,0))+SUM(IF(AND($F$18=1,$E$18=3),1,0))+SUM(IF(AND($E$22=1,$F$22=3),1,0))+SUM(IF(AND($F$26=1,$E$26=3),1,0))+SUM(IF(AND($E$30=1,$F$30=3),1,0))+SUM(IF(AND($F$34=1,$E$34=3),1,0))+SUM(IF(AND($F$30=1,$E$40=3),1,0))+SUM(IF(AND($E$46=1,$F$46=3),1,0))</f>
        <v>0</v>
      </c>
      <c r="AL8" s="185">
        <f>SUM(IF(AND($E$7=0,$F$7=3),1,0))+SUM(IF(AND($F$13=0,$E$13=3),1,0))+SUM(IF(AND($F$18=0,$E$18=3),1,0))+SUM(IF(AND($E$22=0,$F$22=3),1,0))+SUM(IF(AND($F$26=0,$E$26=3),1,0))+SUM(IF(AND($E$30=0,$F$30=3),1,0))+SUM(IF(AND($F$34=0,$E$34=3),1,0))+SUM(IF(AND($F$30=0,$E$40=3),1,0))+SUM(IF(AND($E$46=0,$F$46=3),1,0))</f>
        <v>3</v>
      </c>
      <c r="AM8" s="9"/>
    </row>
    <row r="9" spans="1:39" ht="12" x14ac:dyDescent="0.2">
      <c r="A9" s="163" t="s">
        <v>214</v>
      </c>
      <c r="B9" s="163" t="s">
        <v>170</v>
      </c>
      <c r="C9" s="90" t="s">
        <v>149</v>
      </c>
      <c r="D9" s="162" t="s">
        <v>205</v>
      </c>
      <c r="E9" s="154">
        <v>3</v>
      </c>
      <c r="F9" s="154">
        <v>0</v>
      </c>
      <c r="G9" s="91">
        <v>25</v>
      </c>
      <c r="H9" s="91">
        <v>14</v>
      </c>
      <c r="I9" s="163">
        <v>25</v>
      </c>
      <c r="J9" s="94">
        <v>14</v>
      </c>
      <c r="K9" s="91">
        <v>25</v>
      </c>
      <c r="L9" s="91">
        <v>11</v>
      </c>
      <c r="M9" s="163">
        <v>0</v>
      </c>
      <c r="N9" s="163">
        <v>0</v>
      </c>
      <c r="O9" s="91">
        <v>0</v>
      </c>
      <c r="P9" s="91">
        <v>0</v>
      </c>
      <c r="Q9" s="163">
        <f t="shared" si="4"/>
        <v>75</v>
      </c>
      <c r="R9" s="163">
        <f t="shared" si="5"/>
        <v>39</v>
      </c>
      <c r="T9" s="172">
        <v>6</v>
      </c>
      <c r="U9" s="172" t="s">
        <v>172</v>
      </c>
      <c r="V9" s="173">
        <f t="shared" si="0"/>
        <v>10</v>
      </c>
      <c r="W9" s="174">
        <f t="shared" si="1"/>
        <v>9</v>
      </c>
      <c r="X9" s="174">
        <f>COUNTIF($E$8,"=3")+COUNTIF($E$13,"=3")+COUNTIF($F$17,"=3")+COUNTIF($E$21,"=3")+COUNTIF($F$25,"=3")+COUNTIF($E$29,"=3")+COUNTIF($E$35,"=3")+COUNTIF($F$41,"=3")+COUNTIF($E$47,"=3")</f>
        <v>3</v>
      </c>
      <c r="Y9" s="175">
        <f>SUM(IF($E$8&lt;$F$8,1,0))+SUM(IF($E$13&lt;$F$13,1,0))+SUM(IF($F$17&lt;$E$17,1,0))+SUM(IF($E$21&lt;$F$21,1,0))+SUM(IF($F$25&lt;$E$25,1,0))+SUM(IF($E$29&lt;$F$29,1,0))+SUM(IF($E$35&lt;$F$35,1,0))+SUM(IF($F$41&lt;$E$41,1,0))+SUM(IF($E$47&lt;$F$47,1,0))</f>
        <v>6</v>
      </c>
      <c r="Z9" s="176"/>
      <c r="AA9" s="177">
        <f>$E$8+$E$13+$F$17+$E$21+$F$25+$E$29+$E$35+$F$41+$E$47</f>
        <v>13</v>
      </c>
      <c r="AB9" s="177">
        <f>$F$8+$F$13+$E$17+$F$21+$E$25+$F$29+$F$35+$E$41+$F$47</f>
        <v>20</v>
      </c>
      <c r="AC9" s="178">
        <f t="shared" si="2"/>
        <v>0.65</v>
      </c>
      <c r="AD9" s="177">
        <f>$R$8+$Q$12+$R$16+$Q$20+$R$24+$R$30+$Q$36+$R$42+$Q$48</f>
        <v>653</v>
      </c>
      <c r="AE9" s="177">
        <f>$Q$8+$R$12+$Q$16+$R$20+$Q$24+$Q$30+$R$36+$Q$42+$R$48</f>
        <v>760</v>
      </c>
      <c r="AF9" s="178">
        <f t="shared" si="3"/>
        <v>0.85921052631578942</v>
      </c>
      <c r="AG9" s="178">
        <f>SUM(IF(AND($E$8=3,$F$8=0),1,0))+SUM(IF(AND($E$13=3,$F$13=0),1,0))+SUM(IF(AND($F$17=3,$E$17=0),1,0))+SUM(IF(AND($E$21=3,$F$21=0),1,0))+SUM(IF(AND($F$25=3,$E$25=0),1,0))+SUM(IF(AND($E$29=3,$F$29=0),1,0))+SUM(IF(AND($E$35=3,$F$35=0),1,0))+SUM(IF(AND($F$41=3,$E$41=0),1,0))+SUM(IF(AND($E$47=3,$F$47=0),1,0))</f>
        <v>1</v>
      </c>
      <c r="AH9" s="178">
        <f>SUM(IF(AND($E$8=3,$F$8=1),1,0))+SUM(IF(AND($E$13=3,$F$13=1),1,0))+SUM(IF(AND($F$17=3,$E$17=1),1,0))+SUM(IF(AND($E$21=3,$F$21=1),1,0))+SUM(IF(AND($F$25=3,$E$25=1),1,0))+SUM(IF(AND($E$29=3,$F$29=1),1,0))+SUM(IF(AND($E$35=3,$F$35=1),1,0))+SUM(IF(AND($F$41=3,$E$41=1),1,0))+SUM(IF(AND($E$47=3,$F$47=1),1,0))</f>
        <v>2</v>
      </c>
      <c r="AI9" s="178">
        <f>SUM(IF(AND($E$8=3,$F$8=2),1,0))+SUM(IF(AND($E$13=3,$F$13=2),1,0))+SUM(IF(AND($F$17=3,$E$17=2),1,0))+SUM(IF(AND($E$21=3,$F$21=2),1,0))+SUM(IF(AND($F$25=3,$E$25=2),1,0))+SUM(IF(AND($E$29=3,$F$29=2),1,0))+SUM(IF(AND($E$35=3,$F$35=2),1,0))+SUM(IF(AND($F$41=3,$E$41=2),1,0))+SUM(IF(AND($E$47=3,$F$47=2),1,0))</f>
        <v>0</v>
      </c>
      <c r="AJ9" s="178">
        <f>SUM(IF(AND($E$8=2,$F$8=3),1,0))+SUM(IF(AND($E$13=2,$F$13=3),1,0))+SUM(IF(AND($F$17=2,$E$17=3),1,0))+SUM(IF(AND($E$21=2,$F$21=3),1,0))+SUM(IF(AND($F$25=2,$E$25=3),1,0))+SUM(IF(AND($E$29=2,$F$29=3),1,0))+SUM(IF(AND($E$35=2,$F$35=3),1,0))+SUM(IF(AND($F$41=2,$E$41=3),1,0))+SUM(IF(AND($E$47=2,$F$47=3),1,0))</f>
        <v>1</v>
      </c>
      <c r="AK9" s="178">
        <f>SUM(IF(AND($E$8=1,$F$8=3),1,0))+SUM(IF(AND($E$13=1,$F$13=3),1,0))+SUM(IF(AND($F$17=1,$E$17=3),1,0))+SUM(IF(AND($E$21=1,$F$21=3),1,0))+SUM(IF(AND($F$25=1,$E$25=3),1,0))+SUM(IF(AND($E$29=1,$F$29=3),1,0))+SUM(IF(AND($E$35=1,$F$35=3),1,0))+SUM(IF(AND($F$41=1,$E$41=3),1,0))+SUM(IF(AND($E$47=1,$F$47=3),1,0))</f>
        <v>2</v>
      </c>
      <c r="AL9" s="178">
        <f>SUM(IF(AND($E$8=0,$F$8=3),1,0))+SUM(IF(AND($E$13=0,$F$13=3),1,0))+SUM(IF(AND($F$17=0,$E$17=3),1,0))+SUM(IF(AND($E$21=0,$F$21=3),1,0))+SUM(IF(AND($F$25=0,$E$25=3),1,0))+SUM(IF(AND($E$29=0,$F$29=3),1,0))+SUM(IF(AND($E$35=0,$F$35=3),1,0))+SUM(IF(AND($F$41=0,$E$41=3),1,0))+SUM(IF(AND($E$47=0,$F$47=3),1,0))</f>
        <v>3</v>
      </c>
    </row>
    <row r="10" spans="1:39" ht="12" x14ac:dyDescent="0.2">
      <c r="A10" s="163" t="s">
        <v>215</v>
      </c>
      <c r="B10" s="163" t="s">
        <v>170</v>
      </c>
      <c r="C10" s="90" t="s">
        <v>150</v>
      </c>
      <c r="D10" s="90" t="s">
        <v>206</v>
      </c>
      <c r="E10" s="154">
        <v>3</v>
      </c>
      <c r="F10" s="154">
        <v>0</v>
      </c>
      <c r="G10" s="91">
        <v>25</v>
      </c>
      <c r="H10" s="91">
        <v>17</v>
      </c>
      <c r="I10" s="163">
        <v>25</v>
      </c>
      <c r="J10" s="94">
        <v>7</v>
      </c>
      <c r="K10" s="91">
        <v>25</v>
      </c>
      <c r="L10" s="91">
        <v>20</v>
      </c>
      <c r="M10" s="163">
        <v>0</v>
      </c>
      <c r="N10" s="163">
        <v>0</v>
      </c>
      <c r="O10" s="91">
        <v>0</v>
      </c>
      <c r="P10" s="91">
        <v>0</v>
      </c>
      <c r="Q10" s="163">
        <f t="shared" si="4"/>
        <v>75</v>
      </c>
      <c r="R10" s="163">
        <f t="shared" si="5"/>
        <v>44</v>
      </c>
      <c r="T10" s="162">
        <v>7</v>
      </c>
      <c r="U10" s="92" t="s">
        <v>205</v>
      </c>
      <c r="V10" s="99">
        <f t="shared" si="0"/>
        <v>9</v>
      </c>
      <c r="W10" s="104">
        <f t="shared" si="1"/>
        <v>9</v>
      </c>
      <c r="X10" s="104">
        <f>COUNTIF($E$4,"=3")+COUNTIF($F$9,"=3")+COUNTIF($E$14,"=3")+COUNTIF($F$19,"=3")+COUNTIF($E$24,"=3")+COUNTIF($F$29,"=3")+COUNTIF($E$34,"=3")+COUNTIF($F$39,"=3")+COUNTIF($E$44,"=3")</f>
        <v>3</v>
      </c>
      <c r="Y10" s="103">
        <f>SUM(IF($E$4&lt;$F$4,1,0))+SUM(IF($F$9&lt;$E$9,1,0))+SUM(IF($E$14&lt;$F$14,1,0))+SUM(IF($F$19&lt;$E$19,1,0))+SUM(IF($E$24&lt;$F$24,1,0))+SUM(IF($F$29&lt;$E$29,1,0))+SUM(IF($E$34&lt;$F$34,1,0))+SUM(IF($F$39&lt;$E$39,1,0))+SUM(IF($E$44&lt;$F$44,1,0))</f>
        <v>6</v>
      </c>
      <c r="Z10" s="101"/>
      <c r="AA10" s="93">
        <f>$E$4+$F$9+$E$14+$F$19+$E$24+$F$29+$E$34+$F$39+$E$44</f>
        <v>11</v>
      </c>
      <c r="AB10" s="93">
        <f>$F$4+$E$9+$F$14+$E$19+$F$24+$E$29+$F$34+$E$39+$F$44</f>
        <v>18</v>
      </c>
      <c r="AC10" s="163">
        <f t="shared" si="2"/>
        <v>0.61111111111111116</v>
      </c>
      <c r="AD10" s="93">
        <f>$Q$4+$R$9+$Q$14+$R$19+$Q$24+$R$29+$Q$34+$R$39+$Q$44</f>
        <v>572</v>
      </c>
      <c r="AE10" s="93">
        <f>$R$4+$Q$9+$R$14+$Q$19+$R$24+$Q$29+$R$34+$Q$39+$R$44</f>
        <v>645</v>
      </c>
      <c r="AF10" s="163">
        <f t="shared" si="3"/>
        <v>0.88682170542635663</v>
      </c>
      <c r="AG10" s="163">
        <f>SUM(IF(AND($E$4=3,$F$4=0),1,0))+SUM(IF(AND($F$9=3,$E$9=0),1,0))+SUM(IF(AND($E$14=3,$F$14=0),1,0))+SUM(IF(AND($E$24=3,$F$24=0),1,0))+SUM(IF(AND($F$29=3,$E$29=0),1,0))+SUM(IF(AND($E$34=3,$F$34=0),1,0))+SUM(IF(AND($E$34=3,$F$34=0),1,0))+SUM(IF(AND($F$39=3,$E$39=0),1,0))+SUM(IF(AND($E$44=3,$F$44=0),1,0))</f>
        <v>3</v>
      </c>
      <c r="AH10" s="163">
        <f>SUM(IF(AND($E$4=3,$F$4=1),1,0))+SUM(IF(AND($F$9=3,$E15=1),1,0))+SUM(IF(AND($E$14=3,$F$14=1),1,0))+SUM(IF(AND($E$24=3,$F$24=1),1,0))+SUM(IF(AND($F$29=3,$E$29=1),1,0))+SUM(IF(AND($E$34=3,$F$34=1),1,0))+SUM(IF(AND($E$34=3,$F$34=1),1,0))+SUM(IF(AND($F$39=3,$E$39=1),1,0))+SUM(IF(AND($E$44=3,$F$44=1),1,0))</f>
        <v>0</v>
      </c>
      <c r="AI10" s="163">
        <f>SUM(IF(AND($E$4=3,$F$4=2),1,0))+SUM(IF(AND($F$9=3,$E15=2),1,0))+SUM(IF(AND($E$14=3,$F$14=2),1,0))+SUM(IF(AND($E$24=3,$F$24=2),1,0))+SUM(IF(AND($F$29=3,$E$29=2),1,0))+SUM(IF(AND($E$34=3,$F$34=2),1,0))+SUM(IF(AND($E$34=3,$F$34=2),1,0))+SUM(IF(AND($F$39=3,$E$39=2),1,0))+SUM(IF(AND($E$44=3,$F$44=2),1,0))</f>
        <v>0</v>
      </c>
      <c r="AJ10" s="163">
        <f>SUM(IF(AND($E$4=2,$F$4=3),1,0))+SUM(IF(AND($F$9=2,$E15=3),1,0))+SUM(IF(AND($E$14=2,$F$14=3),1,0))+SUM(IF(AND($E$24=2,$F$24=3),1,0))+SUM(IF(AND($F$29=2,$E$29=3),1,0))+SUM(IF(AND($E$34=2,$F$34=3),1,0))+SUM(IF(AND($E$34=2,$F$34=3),1,0))+SUM(IF(AND($F$39=2,$E$39=3),1,0))+SUM(IF(AND($E$44=2,$F$44=3),1,0))</f>
        <v>0</v>
      </c>
      <c r="AK10" s="163">
        <f>SUM(IF(AND($E$4=1,$F$4=3),1,0))+SUM(IF(AND($F$9=1,$E15=3),1,0))+SUM(IF(AND($E$14=1,$F$14=3),1,0))+SUM(IF(AND($E$24=1,$F$24=3),1,0))+SUM(IF(AND($F$29=1,$E$29=3),1,0))+SUM(IF(AND($E$34=1,$F$34=3),1,0))+SUM(IF(AND($E$34=1,$F$34=3),1,0))+SUM(IF(AND($F$39=1,$E$39=3),1,0))+SUM(IF(AND($E$44=1,$F$44=3),1,0))</f>
        <v>2</v>
      </c>
      <c r="AL10" s="163">
        <f>SUM(IF(AND($E$4=0,$F$4=3),1,0))+SUM(IF(AND($F$9=0,$E$9=3),1,0))+SUM(IF(AND($E$14=0,$F$14=3),1,0))+SUM(IF(AND($E$24=0,$F$24=3),1,0))+SUM(IF(AND($F$29=0,$E$29=3),1,0))+SUM(IF(AND($E$34=0,$F$34=3),1,0))+SUM(IF(AND($E$34=0,$F$34=3),1,0))+SUM(IF(AND($F$39=0,$E$39=3),1,0))+SUM(IF(AND($E$44=0,$F$44=3),1,0))</f>
        <v>4</v>
      </c>
    </row>
    <row r="11" spans="1:39" ht="12" x14ac:dyDescent="0.2">
      <c r="A11" s="163" t="s">
        <v>216</v>
      </c>
      <c r="B11" s="163" t="s">
        <v>170</v>
      </c>
      <c r="C11" s="90" t="s">
        <v>207</v>
      </c>
      <c r="D11" s="92" t="s">
        <v>209</v>
      </c>
      <c r="E11" s="154">
        <v>0</v>
      </c>
      <c r="F11" s="154">
        <v>3</v>
      </c>
      <c r="G11" s="91">
        <v>7</v>
      </c>
      <c r="H11" s="91">
        <v>25</v>
      </c>
      <c r="I11" s="163">
        <v>9</v>
      </c>
      <c r="J11" s="94">
        <v>25</v>
      </c>
      <c r="K11" s="91">
        <v>14</v>
      </c>
      <c r="L11" s="91">
        <v>25</v>
      </c>
      <c r="M11" s="163">
        <v>0</v>
      </c>
      <c r="N11" s="163">
        <v>0</v>
      </c>
      <c r="O11" s="91">
        <v>0</v>
      </c>
      <c r="P11" s="91">
        <v>0</v>
      </c>
      <c r="Q11" s="163">
        <f t="shared" si="4"/>
        <v>30</v>
      </c>
      <c r="R11" s="163">
        <f t="shared" si="5"/>
        <v>75</v>
      </c>
      <c r="T11" s="162">
        <v>8</v>
      </c>
      <c r="U11" s="169" t="s">
        <v>174</v>
      </c>
      <c r="V11" s="99">
        <f t="shared" si="0"/>
        <v>9</v>
      </c>
      <c r="W11" s="104">
        <f t="shared" si="1"/>
        <v>9</v>
      </c>
      <c r="X11" s="104">
        <f>COUNTIF($E$6,"=3")+COUNTIF($F$12,"=3")+COUNTIF($E$18,"=3")+COUNTIF($E$23,"=3")+COUNTIF($F$27,"=3")+COUNTIF($E$31,"=3")+COUNTIF($F$35,"=3")+COUNTIF($E$39,"=3")+COUNTIF($E$45,"=3")</f>
        <v>3</v>
      </c>
      <c r="Y11" s="103">
        <f>SUM(IF($E$6&lt;$F$6,1,0))+SUM(IF($F$12&lt;$E$12,1,0))+SUM(IF($E$18&lt;$F$18,1,0))+SUM(IF($E$23&lt;$F$23,1,0))+SUM(IF($F$27&lt;$E$27,1,0))+SUM(IF($E$31&lt;$F$31,1,0))+SUM(IF($F$35&lt;$E$35,1,0))+SUM(IF($E$39&lt;$F$39,1,0))+SUM(IF($E$45&lt;$F$45,1,0))</f>
        <v>6</v>
      </c>
      <c r="Z11" s="98"/>
      <c r="AA11" s="93">
        <f>$E$6+$F$12+$E$18+$E$23+$F$27+$E$31+$F$35+$E$39+$E$45</f>
        <v>12</v>
      </c>
      <c r="AB11" s="93">
        <f>$F$6+$E$12+$F$18+$F$23+$E$27+$F$31+$E$35+$F$39+$F$45</f>
        <v>20</v>
      </c>
      <c r="AC11" s="163">
        <f t="shared" si="2"/>
        <v>0.6</v>
      </c>
      <c r="AD11" s="93">
        <f>$Q$6+$R$12+$Q$18+$Q$23+$R$27+$Q$31+$R$35+$Q$39+$Q$45</f>
        <v>608</v>
      </c>
      <c r="AE11" s="93">
        <f>$R$6+$Q$12+$R$18+$R$23+$Q$27+$R$31+$Q$35+$R$39+$R$45</f>
        <v>716</v>
      </c>
      <c r="AF11" s="163">
        <f t="shared" si="3"/>
        <v>0.84916201117318435</v>
      </c>
      <c r="AG11" s="163">
        <f>SUM(IF(AND($E$6=3,$F$6=0),1,0))+SUM(IF(AND($F$12=3,$E$12=0),1,0))+SUM(IF(AND($E$18=3,$F$18=0),1,0))+SUM(IF(AND($E$23=3,$F$23=0),1,0))+SUM(IF(AND($F$27=3,$E$27=0),1,0))+SUM(IF(AND($E$31=3,$F$31=0),1,0))+SUM(IF(AND($F$35=3,$E$35=0),1,0))+SUM(IF(AND($E$39=3,$F$39=0),1,0))+SUM(IF(AND($E$45=3,$F$45=0),1,0))</f>
        <v>1</v>
      </c>
      <c r="AH11" s="163">
        <f>SUM(IF(AND($E$6=3,$F$6=1),1,0))+SUM(IF(AND($F$12=3,$E$12=1),1,0))+SUM(IF(AND($E$18=3,$F$18=1),1,0))+SUM(IF(AND($E$23=3,$F$23=1),1,0))+SUM(IF(AND($F$27=3,$E$27=1),1,0))+SUM(IF(AND($E$31=3,$F$31=1),1,0))+SUM(IF(AND($F$35=3,$E$35=1),1,0))+SUM(IF(AND($E$39=3,$F$39=1),1,0))+SUM(IF(AND($E$45=3,$F$45=1),1,0))</f>
        <v>2</v>
      </c>
      <c r="AI11" s="163">
        <f>SUM(IF(AND($E$6=3,$F$6=2),1,0))+SUM(IF(AND($F$12=3,$E$12=2),1,0))+SUM(IF(AND($E$18=3,$F$18=2),1,0))+SUM(IF(AND($E$23=3,$F$23=2),1,0))+SUM(IF(AND($F$27=3,$E$27=2),1,0))+SUM(IF(AND($E$31=3,$F$31=2),1,0))+SUM(IF(AND($F$35=3,$E$35=2),1,0))+SUM(IF(AND($E$39=3,$F$39=2),1,0))+SUM(IF(AND($E$45=3,$F$45=2),1,0))</f>
        <v>0</v>
      </c>
      <c r="AJ11" s="163">
        <f>SUM(IF(AND($E$6=2,$F$6=3),1,0))+SUM(IF(AND($F$12=2,$E$12=3),1,0))+SUM(IF(AND($E$18=2,$F$18=3),1,0))+SUM(IF(AND($E$23=2,$F$23=3),1,0))+SUM(IF(AND($F$27=2,$E$27=3),1,0))+SUM(IF(AND($E$31=2,$F$31=3),1,0))+SUM(IF(AND($F$35=2,$E$35=3),1,0))+SUM(IF(AND($E$39=2,$F$39=3),1,0))+SUM(IF(AND($E$45=2,$F$45=3),1,0))</f>
        <v>0</v>
      </c>
      <c r="AK11" s="163">
        <f>SUM(IF(AND($E$6=1,$F$6=3),1,0))+SUM(IF(AND($F$12=1,$E$12=3),1,0))+SUM(IF(AND($E$18=1,$F$18=3),1,0))+SUM(IF(AND($E$23=1,$F$23=3),1,0))+SUM(IF(AND($F$27=1,$E$27=3),1,0))+SUM(IF(AND($E$31=1,$F$31=3),1,0))+SUM(IF(AND($F$35=1,$E$35=3),1,0))+SUM(IF(AND($E$39=1,$F$39=3),1,0))+SUM(IF(AND($E$45=1,$F$45=3),1,0))</f>
        <v>3</v>
      </c>
      <c r="AL11" s="163">
        <f>SUM(IF(AND($E$6=0,$F$6=3),1,0))+SUM(IF(AND($F$12=0,$E$12=3),1,0))+SUM(IF(AND($E$18=0,$F$18=3),1,0))+SUM(IF(AND($E$23=0,$F$23=3),1,0))+SUM(IF(AND($F$27=0,$E$27=3),1,0))+SUM(IF(AND($E$31=0,$F$31=3),1,0))+SUM(IF(AND($F$35=0,$E$35=3),1,0))+SUM(IF(AND($E$39=0,$F$39=3),1,0))+SUM(IF(AND($E$45=0,$F$45=3),1,0))</f>
        <v>3</v>
      </c>
    </row>
    <row r="12" spans="1:39" ht="12" x14ac:dyDescent="0.2">
      <c r="A12" s="163" t="s">
        <v>217</v>
      </c>
      <c r="B12" s="163" t="s">
        <v>170</v>
      </c>
      <c r="C12" s="162" t="s">
        <v>153</v>
      </c>
      <c r="D12" s="90" t="s">
        <v>174</v>
      </c>
      <c r="E12" s="154">
        <v>1</v>
      </c>
      <c r="F12" s="154">
        <v>3</v>
      </c>
      <c r="G12" s="91">
        <v>25</v>
      </c>
      <c r="H12" s="91">
        <v>21</v>
      </c>
      <c r="I12" s="163">
        <v>21</v>
      </c>
      <c r="J12" s="94">
        <v>25</v>
      </c>
      <c r="K12" s="91">
        <v>21</v>
      </c>
      <c r="L12" s="91">
        <v>25</v>
      </c>
      <c r="M12" s="163">
        <v>16</v>
      </c>
      <c r="N12" s="163">
        <v>15</v>
      </c>
      <c r="O12" s="91">
        <v>0</v>
      </c>
      <c r="P12" s="91">
        <v>0</v>
      </c>
      <c r="Q12" s="163">
        <f t="shared" si="4"/>
        <v>83</v>
      </c>
      <c r="R12" s="163">
        <f t="shared" si="5"/>
        <v>86</v>
      </c>
      <c r="T12" s="162">
        <v>9</v>
      </c>
      <c r="U12" s="170" t="s">
        <v>153</v>
      </c>
      <c r="V12" s="99">
        <f t="shared" si="0"/>
        <v>8</v>
      </c>
      <c r="W12" s="104">
        <f t="shared" si="1"/>
        <v>9</v>
      </c>
      <c r="X12" s="104">
        <f>COUNTIF($F$8,"=3")+COUNTIF($E$12,"=3")+COUNTIF($F$16,"=3")+COUNTIF($E$20,"=3")+COUNTIF($F$24,"=3")+COUNTIF($F$30,"=3")+COUNTIF($E$36,"=3")+COUNTIF($F$42,"=3")+COUNTIF($E$48,"=3")</f>
        <v>3</v>
      </c>
      <c r="Y12" s="103">
        <f>SUM(IF($F$8&lt;$E$8,1,0))+SUM(IF($E$12&lt;$F$12,1,0))+SUM(IF($F$16&lt;$E$16,1,0))+SUM(IF($E$20&lt;$F$20,1,0))+SUM(IF($F$24&lt;$E$24,1,0))+SUM(IF($F$30&lt;$E$30,1,0))+SUM(IF($E$36&lt;$F$36,1,0))+SUM(IF($F$42&lt;$E$42,1,0))+SUM(IF($E$48&lt;$F$48,1,0))</f>
        <v>6</v>
      </c>
      <c r="Z12" s="98"/>
      <c r="AA12" s="93">
        <f>$F$8+$E$12+$F$16+$E$20+$F$24+$F$30+$E$36+$F$42+$E$48</f>
        <v>12</v>
      </c>
      <c r="AB12" s="93">
        <f>$E$8+$F$12+$E$16+$F$20+$E$24+$E$30+$F$36+$E$42+$F$48</f>
        <v>23</v>
      </c>
      <c r="AC12" s="163">
        <f t="shared" si="2"/>
        <v>0.52173913043478259</v>
      </c>
      <c r="AD12" s="93">
        <f>$R$8+$Q$12+$R$16+$Q$20+$R$24+$R$30+$Q$36+$R$42+$Q$48</f>
        <v>653</v>
      </c>
      <c r="AE12" s="93">
        <f>$Q$8+$R$12+$Q$16+$R$20+$Q$24+$Q$30+$R$36+$Q$42+$R$48</f>
        <v>760</v>
      </c>
      <c r="AF12" s="163">
        <f t="shared" si="3"/>
        <v>0.85921052631578942</v>
      </c>
      <c r="AG12" s="163">
        <f>SUM(IF(AND($F$8=3,$E$8=0),1,0))+SUM(IF(AND($E$12=3,$F$12=0),1,0))+SUM(IF(AND($F$16=3,$E$16=0),1,0))+SUM(IF(AND($E$20=3,$F$20=0),1,0))+SUM(IF(AND($F$24=3,$E$24=0),1,0))+SUM(IF(AND($F$30=3,$E$30=0),1,0))+SUM(IF(AND($E$36=3,$F$36=0),1,0))+SUM(IF(AND($F$42=3,$E$42=0),1,0))+SUM(IF(AND($E$48=3,$F$48=0),1,0))</f>
        <v>0</v>
      </c>
      <c r="AH12" s="163">
        <f>SUM(IF(AND($F$8=3,$E$8=1),1,0))+SUM(IF(AND($E$12=3,$F$12=1),1,0))+SUM(IF(AND($F$16=3,$E$16=1),1,0))+SUM(IF(AND($E$20=3,$F$20=1),1,0))+SUM(IF(AND($F$24=3,$E$24=1),1,0))+SUM(IF(AND($F$30=3,$E$30=1),1,0))+SUM(IF(AND($E$36=3,$F$36=1),1,0))+SUM(IF(AND($F$42=3,$E$42=1),1,0))+SUM(IF(AND($E$48=3,$F$48=1),1,0))</f>
        <v>1</v>
      </c>
      <c r="AI12" s="163">
        <f>SUM(IF(AND($F$8=3,$E$8=2),1,0))+SUM(IF(AND($E$12=3,$F$12=2),1,0))+SUM(IF(AND($F$16=3,$E$16=2),1,0))+SUM(IF(AND($E$20=3,$F$20=2),1,0))+SUM(IF(AND($F$24=3,$E$24=2),1,0))+SUM(IF(AND($F$30=3,$E$30=2),1,0))+SUM(IF(AND($E$36=3,$F$36=2),1,0))+SUM(IF(AND($F$42=3,$E$42=2),1,0))+SUM(IF(AND($E$48=3,$F$48=2),1,0))</f>
        <v>2</v>
      </c>
      <c r="AJ12" s="163">
        <f>SUM(IF(AND($F$8=2,$E$8=3),1,0))+SUM(IF(AND($E$12=2,$F$12=3),1,0))+SUM(IF(AND($F$16=2,$E$16=3),1,0))+SUM(IF(AND($E$20=2,$F$20=3),1,0))+SUM(IF(AND($F$24=2,$E$24=3),1,0))+SUM(IF(AND($F$30=2,$E$30=3),1,0))+SUM(IF(AND($E$36=2,$F$36=3),1,0))+SUM(IF(AND($F$42=2,$E$42=3),1,0))+SUM(IF(AND($E$48=2,$F$48=3),1,0))</f>
        <v>1</v>
      </c>
      <c r="AK12" s="163">
        <f>SUM(IF(AND($F$8=1,$E$8=3),1,0))+SUM(IF(AND($E$12=1,$F$12=3),1,0))+SUM(IF(AND($F$16=1,$E$16=3),1,0))+SUM(IF(AND($E$20=1,$F$20=3),1,0))+SUM(IF(AND($F$24=1,$E$24=3),1,0))+SUM(IF(AND($F$30=1,$E$30=3),1,0))+SUM(IF(AND($E$36=1,$F$36=3),1,0))+SUM(IF(AND($F$42=1,$E$42=3),1,0))+SUM(IF(AND($E$48=1,$F$48=3),1,0))</f>
        <v>1</v>
      </c>
      <c r="AL12" s="163">
        <f>SUM(IF(AND($F$8=0,$E$8=3),1,0))+SUM(IF(AND($E$12=0,$F$12=3),1,0))+SUM(IF(AND($F$16=0,$E$16=3),1,0))+SUM(IF(AND($E$20=0,$F$20=3),1,0))+SUM(IF(AND($F$24=0,$E$24=3),1,0))+SUM(IF(AND($F$30=0,$E$30=3),1,0))+SUM(IF(AND($E$36=0,$F$36=3),1,0))+SUM(IF(AND($F$42=0,$E$42=3),1,0))+SUM(IF(AND($E$48=0,$F$48=3),1,0))</f>
        <v>4</v>
      </c>
    </row>
    <row r="13" spans="1:39" ht="12" x14ac:dyDescent="0.2">
      <c r="A13" s="163" t="s">
        <v>218</v>
      </c>
      <c r="B13" s="163" t="s">
        <v>170</v>
      </c>
      <c r="C13" s="90" t="s">
        <v>172</v>
      </c>
      <c r="D13" s="90" t="s">
        <v>212</v>
      </c>
      <c r="E13" s="154">
        <v>0</v>
      </c>
      <c r="F13" s="154">
        <v>3</v>
      </c>
      <c r="G13" s="91">
        <v>10</v>
      </c>
      <c r="H13" s="91">
        <v>25</v>
      </c>
      <c r="I13" s="163">
        <v>16</v>
      </c>
      <c r="J13" s="94">
        <v>25</v>
      </c>
      <c r="K13" s="91">
        <v>26</v>
      </c>
      <c r="L13" s="91">
        <v>28</v>
      </c>
      <c r="M13" s="163">
        <v>0</v>
      </c>
      <c r="N13" s="163">
        <v>0</v>
      </c>
      <c r="O13" s="91">
        <v>0</v>
      </c>
      <c r="P13" s="91">
        <v>0</v>
      </c>
      <c r="Q13" s="163">
        <f t="shared" si="4"/>
        <v>52</v>
      </c>
      <c r="R13" s="163">
        <f t="shared" si="5"/>
        <v>78</v>
      </c>
      <c r="T13" s="162">
        <v>10</v>
      </c>
      <c r="U13" s="162" t="s">
        <v>207</v>
      </c>
      <c r="V13" s="99">
        <f t="shared" si="0"/>
        <v>3</v>
      </c>
      <c r="W13" s="104">
        <f t="shared" si="1"/>
        <v>9</v>
      </c>
      <c r="X13" s="104">
        <f>COUNTIF($F$7,"=3")+COUNTIF($E$11,"=3")+COUNTIF($F$15,"=3")+COUNTIF($E$19,"=3")+COUNTIF($E$25,"=3")+COUNTIF($F$31,"=3")+COUNTIF($E$37,"=3")+COUNTIF($F$43,"=3")+COUNTIF($F$48,"=3")</f>
        <v>1</v>
      </c>
      <c r="Y13" s="103">
        <f>SUM(IF($F$7&lt;$E$7,1,0))+SUM(IF($E$11&lt;$F$11,1,0))+SUM(IF($F$15&lt;$E$15,1,0))+SUM(IF($E$19&lt;$F$19,1,0))+SUM(IF($E$25&lt;$F$25,1,0))+SUM(IF($F$31&lt;$E$31,1,0))+SUM(IF($E$37&lt;$F$37,1,0))+SUM(IF($F$43&lt;$E$43,1,0))+SUM(IF($F$48&lt;$E$48,1,0))</f>
        <v>8</v>
      </c>
      <c r="Z13" s="98"/>
      <c r="AA13" s="93">
        <f>$F$7+$E$11+$F$15+$E$19+$E$25+$F$31+$E$37+$F$43+$F$48</f>
        <v>6</v>
      </c>
      <c r="AB13" s="93">
        <f>$E$7+$F$11+$E$15+$F$19+$F$25+$E$31+$F$37+$E$43+$E$48</f>
        <v>26</v>
      </c>
      <c r="AC13" s="163">
        <f t="shared" si="2"/>
        <v>0.23076923076923078</v>
      </c>
      <c r="AD13" s="93">
        <f>$R$7+$Q$11+$R$15+$Q$19+$Q$25+$R$31+$Q$37+$R$43+$R$48</f>
        <v>537</v>
      </c>
      <c r="AE13" s="93">
        <f>$Q$7+$R$11+$Q$15+$R$19+$R$25+$Q$31+$R$37+$Q$43+$Q$48</f>
        <v>757</v>
      </c>
      <c r="AF13" s="163">
        <f t="shared" si="3"/>
        <v>0.70937912813738446</v>
      </c>
      <c r="AG13" s="163">
        <f>SUM(IF(AND($F$7=3,$E$7=0),1,0))+SUM(IF(AND($E$11=3,$F$11=0),1,0))+SUM(IF(AND($F$15=3,$E$15=0),1,0))+SUM(IF(AND($E$19=3,$F$19=0),1,0))+SUM(IF(AND($E$25=3,$F$25=0),1,0))+SUM(IF(AND($F$31=3,$E$31=0),1,0))+SUM(IF(AND($E$37=3,$F$37=0),1,0))+SUM(IF(AND($F$43=3,$E$43=0),1,0))+SUM(IF(AND($F$48=3,$E$48=0),1,0))</f>
        <v>0</v>
      </c>
      <c r="AH13" s="163">
        <f>SUM(IF(AND($F$7=3,$E$7=1),1,0))+SUM(IF(AND($E$11=3,$F$11=1),1,0))+SUM(IF(AND($F$15=3,$E$15=1),1,0))+SUM(IF(AND($E$19=3,$F$19=1),1,0))+SUM(IF(AND($E$25=3,$F$25=1),1,0))+SUM(IF(AND($F$31=3,$E$31=1),1,0))+SUM(IF(AND($E$37=3,$F$37=1),1,0))+SUM(IF(AND($F$43=3,$E$43=1),1,0))+SUM(IF(AND($F$48=3,$E$48=1),1,0))</f>
        <v>0</v>
      </c>
      <c r="AI13" s="163">
        <f>SUM(IF(AND($F$7=3,$E$7=2),1,0))+SUM(IF(AND($E$11=3,$F$11=2),1,0))+SUM(IF(AND($F$15=3,$E$15=2),1,0))+SUM(IF(AND($E$19=3,$F$19=2),1,0))+SUM(IF(AND($E$25=3,$F$25=2),1,0))+SUM(IF(AND($F$31=3,$E$31=2),1,0))+SUM(IF(AND($E$37=3,$F$37=2),1,0))+SUM(IF(AND($F$43=3,$E$43=2),1,0))+SUM(IF(AND($F$48=3,$E$48=2),1,0))</f>
        <v>1</v>
      </c>
      <c r="AJ13" s="163">
        <f>SUM(IF(AND($F$7=2,$E$7=3),1,0))+SUM(IF(AND($E$11=2,$F$11=3),1,0))+SUM(IF(AND($F$15=2,$E$15=3),1,0))+SUM(IF(AND($E$19=2,$F$19=3),1,0))+SUM(IF(AND($E$25=2,$F$25=3),1,0))+SUM(IF(AND($F$31=2,$E$31=3),1,0))+SUM(IF(AND($E$37=2,$F$37=3),1,0))+SUM(IF(AND($F$43=2,$E$43=3),1,0))+SUM(IF(AND($F$48=2,$E$48=3),1,0))</f>
        <v>1</v>
      </c>
      <c r="AK13" s="163">
        <f>SUM(IF(AND($F$7=1,$E$7=3),1,0))+SUM(IF(AND($E$11=1,$F$11=3),1,0))+SUM(IF(AND($F$15=1,$E$15=3),1,0))+SUM(IF(AND($E$19=1,$F$19=3),1,0))+SUM(IF(AND($E$25=1,$F$25=3),1,0))+SUM(IF(AND($F$31=1,$E$31=3),1,0))+SUM(IF(AND($E$37=1,$F$37=3),1,0))+SUM(IF(AND($F$43=1,$E$43=3),1,0))+SUM(IF(AND($F$48=1,$E$48=3),1,0))</f>
        <v>1</v>
      </c>
      <c r="AL13" s="163">
        <f>SUM(IF(AND($F$7=0,$E$7=3),1,0))+SUM(IF(AND($E$11=0,$F$11=3),1,0))+SUM(IF(AND($F$15=0,$E$15=3),1,0))+SUM(IF(AND($E$19=0,$F$19=3),1,0))+SUM(IF(AND($E$25=0,$F$25=3),1,0))+SUM(IF(AND($F$31=0,$E$31=3),1,0))+SUM(IF(AND($E$37=0,$F$37=3),1,0))+SUM(IF(AND($F$43=0,$E$43=3),1,0))+SUM(IF(AND($F$48=0,$E$48=3),1,0))</f>
        <v>6</v>
      </c>
    </row>
    <row r="14" spans="1:39" ht="12" x14ac:dyDescent="0.2">
      <c r="A14" s="163" t="s">
        <v>219</v>
      </c>
      <c r="B14" s="163" t="s">
        <v>170</v>
      </c>
      <c r="C14" s="162" t="s">
        <v>205</v>
      </c>
      <c r="D14" s="90" t="s">
        <v>150</v>
      </c>
      <c r="E14" s="154">
        <v>0</v>
      </c>
      <c r="F14" s="154">
        <v>3</v>
      </c>
      <c r="G14" s="91">
        <v>15</v>
      </c>
      <c r="H14" s="91">
        <v>25</v>
      </c>
      <c r="I14" s="163">
        <v>15</v>
      </c>
      <c r="J14" s="94">
        <v>25</v>
      </c>
      <c r="K14" s="91">
        <v>20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4"/>
        <v>50</v>
      </c>
      <c r="R14" s="163">
        <f t="shared" si="5"/>
        <v>75</v>
      </c>
      <c r="T14" s="19"/>
      <c r="U14" s="19"/>
      <c r="V14" s="19"/>
    </row>
    <row r="15" spans="1:39" ht="12" x14ac:dyDescent="0.2">
      <c r="A15" s="163" t="s">
        <v>220</v>
      </c>
      <c r="B15" s="163" t="s">
        <v>170</v>
      </c>
      <c r="C15" s="90" t="s">
        <v>149</v>
      </c>
      <c r="D15" s="92" t="s">
        <v>207</v>
      </c>
      <c r="E15" s="154">
        <v>3</v>
      </c>
      <c r="F15" s="154">
        <v>0</v>
      </c>
      <c r="G15" s="91">
        <v>25</v>
      </c>
      <c r="H15" s="91">
        <v>13</v>
      </c>
      <c r="I15" s="163">
        <v>25</v>
      </c>
      <c r="J15" s="94">
        <v>15</v>
      </c>
      <c r="K15" s="91">
        <v>25</v>
      </c>
      <c r="L15" s="91">
        <v>22</v>
      </c>
      <c r="M15" s="163">
        <v>0</v>
      </c>
      <c r="N15" s="163">
        <v>0</v>
      </c>
      <c r="O15" s="91">
        <v>0</v>
      </c>
      <c r="P15" s="91">
        <v>0</v>
      </c>
      <c r="Q15" s="163">
        <f t="shared" si="4"/>
        <v>75</v>
      </c>
      <c r="R15" s="163">
        <f t="shared" si="5"/>
        <v>50</v>
      </c>
      <c r="T15" s="19"/>
      <c r="U15" s="19"/>
      <c r="V15" s="19"/>
    </row>
    <row r="16" spans="1:39" ht="12" x14ac:dyDescent="0.2">
      <c r="A16" s="163" t="s">
        <v>221</v>
      </c>
      <c r="B16" s="163" t="s">
        <v>170</v>
      </c>
      <c r="C16" s="90" t="s">
        <v>206</v>
      </c>
      <c r="D16" s="90" t="s">
        <v>153</v>
      </c>
      <c r="E16" s="154">
        <v>3</v>
      </c>
      <c r="F16" s="154">
        <v>0</v>
      </c>
      <c r="G16" s="91">
        <v>25</v>
      </c>
      <c r="H16" s="91">
        <v>12</v>
      </c>
      <c r="I16" s="163">
        <v>25</v>
      </c>
      <c r="J16" s="94">
        <v>17</v>
      </c>
      <c r="K16" s="91">
        <v>25</v>
      </c>
      <c r="L16" s="91">
        <v>17</v>
      </c>
      <c r="M16" s="163">
        <v>0</v>
      </c>
      <c r="N16" s="163">
        <v>0</v>
      </c>
      <c r="O16" s="91">
        <v>0</v>
      </c>
      <c r="P16" s="91">
        <v>0</v>
      </c>
      <c r="Q16" s="163">
        <f t="shared" si="4"/>
        <v>75</v>
      </c>
      <c r="R16" s="163">
        <f t="shared" si="5"/>
        <v>46</v>
      </c>
    </row>
    <row r="17" spans="1:19" ht="12" x14ac:dyDescent="0.2">
      <c r="A17" s="163" t="s">
        <v>222</v>
      </c>
      <c r="B17" s="163" t="s">
        <v>170</v>
      </c>
      <c r="C17" s="90" t="s">
        <v>209</v>
      </c>
      <c r="D17" s="90" t="s">
        <v>172</v>
      </c>
      <c r="E17" s="154">
        <v>3</v>
      </c>
      <c r="F17" s="154">
        <v>0</v>
      </c>
      <c r="G17" s="91">
        <v>25</v>
      </c>
      <c r="H17" s="91">
        <v>10</v>
      </c>
      <c r="I17" s="163">
        <v>25</v>
      </c>
      <c r="J17" s="94">
        <v>14</v>
      </c>
      <c r="K17" s="91">
        <v>28</v>
      </c>
      <c r="L17" s="91">
        <v>26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4"/>
        <v>78</v>
      </c>
      <c r="R17" s="163">
        <f t="shared" si="5"/>
        <v>50</v>
      </c>
    </row>
    <row r="18" spans="1:19" ht="12" x14ac:dyDescent="0.2">
      <c r="A18" s="163" t="s">
        <v>223</v>
      </c>
      <c r="B18" s="163" t="s">
        <v>170</v>
      </c>
      <c r="C18" s="162" t="s">
        <v>174</v>
      </c>
      <c r="D18" s="90" t="s">
        <v>212</v>
      </c>
      <c r="E18" s="154">
        <v>1</v>
      </c>
      <c r="F18" s="154">
        <v>3</v>
      </c>
      <c r="G18" s="91">
        <v>17</v>
      </c>
      <c r="H18" s="91">
        <v>25</v>
      </c>
      <c r="I18" s="163">
        <v>14</v>
      </c>
      <c r="J18" s="94">
        <v>25</v>
      </c>
      <c r="K18" s="91">
        <v>25</v>
      </c>
      <c r="L18" s="91">
        <v>23</v>
      </c>
      <c r="M18" s="163">
        <v>13</v>
      </c>
      <c r="N18" s="163">
        <v>25</v>
      </c>
      <c r="O18" s="91">
        <v>0</v>
      </c>
      <c r="P18" s="91">
        <v>0</v>
      </c>
      <c r="Q18" s="163">
        <f t="shared" si="4"/>
        <v>69</v>
      </c>
      <c r="R18" s="163">
        <f t="shared" si="5"/>
        <v>98</v>
      </c>
      <c r="S18" s="97"/>
    </row>
    <row r="19" spans="1:19" ht="12" x14ac:dyDescent="0.2">
      <c r="A19" s="163" t="s">
        <v>224</v>
      </c>
      <c r="B19" s="163" t="s">
        <v>170</v>
      </c>
      <c r="C19" s="92" t="s">
        <v>207</v>
      </c>
      <c r="D19" s="162" t="s">
        <v>205</v>
      </c>
      <c r="E19" s="154">
        <v>0</v>
      </c>
      <c r="F19" s="154">
        <v>3</v>
      </c>
      <c r="G19" s="91">
        <v>14</v>
      </c>
      <c r="H19" s="91">
        <v>25</v>
      </c>
      <c r="I19" s="163">
        <v>20</v>
      </c>
      <c r="J19" s="94">
        <v>25</v>
      </c>
      <c r="K19" s="91">
        <v>13</v>
      </c>
      <c r="L19" s="91">
        <v>25</v>
      </c>
      <c r="M19" s="163">
        <v>0</v>
      </c>
      <c r="N19" s="163">
        <v>0</v>
      </c>
      <c r="O19" s="91">
        <v>0</v>
      </c>
      <c r="P19" s="91">
        <v>0</v>
      </c>
      <c r="Q19" s="163">
        <f t="shared" si="4"/>
        <v>47</v>
      </c>
      <c r="R19" s="163">
        <f t="shared" si="5"/>
        <v>75</v>
      </c>
      <c r="S19" s="97"/>
    </row>
    <row r="20" spans="1:19" ht="12" x14ac:dyDescent="0.2">
      <c r="A20" s="163" t="s">
        <v>225</v>
      </c>
      <c r="B20" s="163" t="s">
        <v>170</v>
      </c>
      <c r="C20" s="92" t="s">
        <v>153</v>
      </c>
      <c r="D20" s="162" t="s">
        <v>150</v>
      </c>
      <c r="E20" s="154">
        <v>0</v>
      </c>
      <c r="F20" s="154">
        <v>3</v>
      </c>
      <c r="G20" s="91">
        <v>12</v>
      </c>
      <c r="H20" s="91">
        <v>25</v>
      </c>
      <c r="I20" s="163">
        <v>10</v>
      </c>
      <c r="J20" s="94">
        <v>25</v>
      </c>
      <c r="K20" s="91">
        <v>12</v>
      </c>
      <c r="L20" s="91">
        <v>25</v>
      </c>
      <c r="M20" s="163">
        <v>0</v>
      </c>
      <c r="N20" s="163">
        <v>0</v>
      </c>
      <c r="O20" s="91">
        <v>0</v>
      </c>
      <c r="P20" s="91">
        <v>0</v>
      </c>
      <c r="Q20" s="163">
        <f t="shared" si="4"/>
        <v>34</v>
      </c>
      <c r="R20" s="163">
        <f t="shared" si="5"/>
        <v>75</v>
      </c>
    </row>
    <row r="21" spans="1:19" ht="12" x14ac:dyDescent="0.2">
      <c r="A21" s="163" t="s">
        <v>226</v>
      </c>
      <c r="B21" s="163" t="s">
        <v>170</v>
      </c>
      <c r="C21" s="92" t="s">
        <v>172</v>
      </c>
      <c r="D21" s="162" t="s">
        <v>149</v>
      </c>
      <c r="E21" s="154">
        <v>1</v>
      </c>
      <c r="F21" s="154">
        <v>3</v>
      </c>
      <c r="G21" s="91">
        <v>25</v>
      </c>
      <c r="H21" s="91">
        <v>22</v>
      </c>
      <c r="I21" s="163">
        <v>7</v>
      </c>
      <c r="J21" s="94">
        <v>25</v>
      </c>
      <c r="K21" s="91">
        <v>18</v>
      </c>
      <c r="L21" s="91">
        <v>25</v>
      </c>
      <c r="M21" s="163">
        <v>17</v>
      </c>
      <c r="N21" s="163">
        <v>25</v>
      </c>
      <c r="O21" s="91">
        <v>0</v>
      </c>
      <c r="P21" s="91">
        <v>0</v>
      </c>
      <c r="Q21" s="163">
        <f t="shared" si="4"/>
        <v>67</v>
      </c>
      <c r="R21" s="163">
        <f t="shared" si="5"/>
        <v>97</v>
      </c>
    </row>
    <row r="22" spans="1:19" ht="12" x14ac:dyDescent="0.2">
      <c r="A22" s="163" t="s">
        <v>227</v>
      </c>
      <c r="B22" s="163" t="s">
        <v>170</v>
      </c>
      <c r="C22" s="92" t="s">
        <v>212</v>
      </c>
      <c r="D22" s="162" t="s">
        <v>206</v>
      </c>
      <c r="E22" s="154">
        <v>2</v>
      </c>
      <c r="F22" s="154">
        <v>3</v>
      </c>
      <c r="G22" s="91">
        <v>25</v>
      </c>
      <c r="H22" s="91">
        <v>21</v>
      </c>
      <c r="I22" s="163">
        <v>23</v>
      </c>
      <c r="J22" s="94">
        <v>25</v>
      </c>
      <c r="K22" s="91">
        <v>18</v>
      </c>
      <c r="L22" s="91">
        <v>25</v>
      </c>
      <c r="M22" s="163">
        <v>25</v>
      </c>
      <c r="N22" s="163">
        <v>21</v>
      </c>
      <c r="O22" s="91">
        <v>7</v>
      </c>
      <c r="P22" s="91">
        <v>15</v>
      </c>
      <c r="Q22" s="163">
        <f t="shared" si="4"/>
        <v>98</v>
      </c>
      <c r="R22" s="163">
        <f t="shared" si="5"/>
        <v>107</v>
      </c>
    </row>
    <row r="23" spans="1:19" ht="12" x14ac:dyDescent="0.2">
      <c r="A23" s="163" t="s">
        <v>228</v>
      </c>
      <c r="B23" s="163" t="s">
        <v>170</v>
      </c>
      <c r="C23" s="92" t="s">
        <v>174</v>
      </c>
      <c r="D23" s="162" t="s">
        <v>209</v>
      </c>
      <c r="E23" s="154">
        <v>0</v>
      </c>
      <c r="F23" s="154">
        <v>3</v>
      </c>
      <c r="G23" s="91">
        <v>10</v>
      </c>
      <c r="H23" s="91">
        <v>25</v>
      </c>
      <c r="I23" s="163">
        <v>16</v>
      </c>
      <c r="J23" s="94">
        <v>25</v>
      </c>
      <c r="K23" s="91">
        <v>12</v>
      </c>
      <c r="L23" s="91">
        <v>25</v>
      </c>
      <c r="M23" s="163">
        <v>0</v>
      </c>
      <c r="N23" s="163">
        <v>0</v>
      </c>
      <c r="O23" s="91">
        <v>0</v>
      </c>
      <c r="P23" s="91">
        <v>0</v>
      </c>
      <c r="Q23" s="163">
        <f t="shared" si="4"/>
        <v>38</v>
      </c>
      <c r="R23" s="163">
        <f t="shared" si="5"/>
        <v>75</v>
      </c>
    </row>
    <row r="24" spans="1:19" ht="12" x14ac:dyDescent="0.2">
      <c r="A24" s="163" t="s">
        <v>229</v>
      </c>
      <c r="B24" s="163" t="s">
        <v>170</v>
      </c>
      <c r="C24" s="92" t="s">
        <v>205</v>
      </c>
      <c r="D24" s="162" t="s">
        <v>153</v>
      </c>
      <c r="E24" s="154">
        <v>1</v>
      </c>
      <c r="F24" s="154">
        <v>3</v>
      </c>
      <c r="G24" s="91">
        <v>17</v>
      </c>
      <c r="H24" s="91">
        <v>25</v>
      </c>
      <c r="I24" s="163">
        <v>19</v>
      </c>
      <c r="J24" s="94">
        <v>25</v>
      </c>
      <c r="K24" s="91">
        <v>25</v>
      </c>
      <c r="L24" s="91">
        <v>20</v>
      </c>
      <c r="M24" s="163">
        <v>21</v>
      </c>
      <c r="N24" s="163">
        <v>25</v>
      </c>
      <c r="O24" s="91">
        <v>0</v>
      </c>
      <c r="P24" s="91">
        <v>0</v>
      </c>
      <c r="Q24" s="163">
        <f t="shared" si="4"/>
        <v>82</v>
      </c>
      <c r="R24" s="163">
        <f t="shared" si="5"/>
        <v>95</v>
      </c>
    </row>
    <row r="25" spans="1:19" ht="12" x14ac:dyDescent="0.2">
      <c r="A25" s="163" t="s">
        <v>230</v>
      </c>
      <c r="B25" s="163" t="s">
        <v>170</v>
      </c>
      <c r="C25" s="92" t="s">
        <v>207</v>
      </c>
      <c r="D25" s="162" t="s">
        <v>172</v>
      </c>
      <c r="E25" s="154">
        <v>1</v>
      </c>
      <c r="F25" s="154">
        <v>3</v>
      </c>
      <c r="G25" s="91">
        <v>14</v>
      </c>
      <c r="H25" s="91">
        <v>25</v>
      </c>
      <c r="I25" s="163">
        <v>25</v>
      </c>
      <c r="J25" s="94">
        <v>14</v>
      </c>
      <c r="K25" s="91">
        <v>22</v>
      </c>
      <c r="L25" s="91">
        <v>25</v>
      </c>
      <c r="M25" s="163">
        <v>18</v>
      </c>
      <c r="N25" s="163">
        <v>25</v>
      </c>
      <c r="O25" s="91">
        <v>0</v>
      </c>
      <c r="P25" s="91">
        <v>0</v>
      </c>
      <c r="Q25" s="163">
        <f t="shared" si="4"/>
        <v>79</v>
      </c>
      <c r="R25" s="163">
        <f t="shared" si="5"/>
        <v>89</v>
      </c>
    </row>
    <row r="26" spans="1:19" ht="12" x14ac:dyDescent="0.2">
      <c r="A26" s="163" t="s">
        <v>231</v>
      </c>
      <c r="B26" s="163" t="s">
        <v>170</v>
      </c>
      <c r="C26" s="92" t="s">
        <v>150</v>
      </c>
      <c r="D26" s="162" t="s">
        <v>212</v>
      </c>
      <c r="E26" s="154">
        <v>3</v>
      </c>
      <c r="F26" s="154">
        <v>0</v>
      </c>
      <c r="G26" s="91">
        <v>25</v>
      </c>
      <c r="H26" s="91">
        <v>12</v>
      </c>
      <c r="I26" s="163">
        <v>25</v>
      </c>
      <c r="J26" s="94">
        <v>14</v>
      </c>
      <c r="K26" s="91">
        <v>25</v>
      </c>
      <c r="L26" s="91">
        <v>22</v>
      </c>
      <c r="M26" s="163">
        <v>0</v>
      </c>
      <c r="N26" s="163">
        <v>0</v>
      </c>
      <c r="O26" s="91">
        <v>0</v>
      </c>
      <c r="P26" s="91">
        <v>0</v>
      </c>
      <c r="Q26" s="163">
        <f t="shared" si="4"/>
        <v>75</v>
      </c>
      <c r="R26" s="163">
        <f t="shared" si="5"/>
        <v>48</v>
      </c>
    </row>
    <row r="27" spans="1:19" ht="12" x14ac:dyDescent="0.2">
      <c r="A27" s="163" t="s">
        <v>232</v>
      </c>
      <c r="B27" s="163" t="s">
        <v>170</v>
      </c>
      <c r="C27" s="92" t="s">
        <v>149</v>
      </c>
      <c r="D27" s="162" t="s">
        <v>174</v>
      </c>
      <c r="E27" s="154">
        <v>3</v>
      </c>
      <c r="F27" s="154">
        <v>1</v>
      </c>
      <c r="G27" s="91">
        <v>25</v>
      </c>
      <c r="H27" s="91">
        <v>18</v>
      </c>
      <c r="I27" s="163">
        <v>21</v>
      </c>
      <c r="J27" s="94">
        <v>25</v>
      </c>
      <c r="K27" s="91">
        <v>25</v>
      </c>
      <c r="L27" s="91">
        <v>18</v>
      </c>
      <c r="M27" s="163">
        <v>25</v>
      </c>
      <c r="N27" s="163">
        <v>18</v>
      </c>
      <c r="O27" s="91">
        <v>0</v>
      </c>
      <c r="P27" s="91">
        <v>0</v>
      </c>
      <c r="Q27" s="163">
        <f t="shared" si="4"/>
        <v>96</v>
      </c>
      <c r="R27" s="163">
        <f t="shared" si="5"/>
        <v>79</v>
      </c>
    </row>
    <row r="28" spans="1:19" ht="12" x14ac:dyDescent="0.2">
      <c r="A28" s="163" t="s">
        <v>233</v>
      </c>
      <c r="B28" s="163" t="s">
        <v>170</v>
      </c>
      <c r="C28" s="92" t="s">
        <v>206</v>
      </c>
      <c r="D28" s="162" t="s">
        <v>209</v>
      </c>
      <c r="E28" s="154">
        <v>0</v>
      </c>
      <c r="F28" s="154">
        <v>3</v>
      </c>
      <c r="G28" s="91">
        <v>16</v>
      </c>
      <c r="H28" s="91">
        <v>25</v>
      </c>
      <c r="I28" s="163">
        <v>18</v>
      </c>
      <c r="J28" s="94">
        <v>25</v>
      </c>
      <c r="K28" s="91">
        <v>15</v>
      </c>
      <c r="L28" s="91">
        <v>25</v>
      </c>
      <c r="M28" s="163">
        <v>0</v>
      </c>
      <c r="N28" s="163">
        <v>0</v>
      </c>
      <c r="O28" s="91">
        <v>0</v>
      </c>
      <c r="P28" s="91">
        <v>0</v>
      </c>
      <c r="Q28" s="163">
        <f t="shared" si="4"/>
        <v>49</v>
      </c>
      <c r="R28" s="163">
        <f t="shared" si="5"/>
        <v>75</v>
      </c>
    </row>
    <row r="29" spans="1:19" ht="12" x14ac:dyDescent="0.2">
      <c r="A29" s="163" t="s">
        <v>234</v>
      </c>
      <c r="B29" s="163" t="s">
        <v>170</v>
      </c>
      <c r="C29" s="92" t="s">
        <v>172</v>
      </c>
      <c r="D29" s="162" t="s">
        <v>205</v>
      </c>
      <c r="E29" s="154">
        <v>3</v>
      </c>
      <c r="F29" s="154">
        <v>0</v>
      </c>
      <c r="G29" s="91">
        <v>25</v>
      </c>
      <c r="H29" s="91">
        <v>20</v>
      </c>
      <c r="I29" s="163">
        <v>25</v>
      </c>
      <c r="J29" s="94">
        <v>14</v>
      </c>
      <c r="K29" s="91">
        <v>25</v>
      </c>
      <c r="L29" s="91">
        <v>22</v>
      </c>
      <c r="M29" s="163">
        <v>0</v>
      </c>
      <c r="N29" s="163">
        <v>0</v>
      </c>
      <c r="O29" s="91">
        <v>0</v>
      </c>
      <c r="P29" s="91">
        <v>0</v>
      </c>
      <c r="Q29" s="163">
        <f t="shared" si="4"/>
        <v>75</v>
      </c>
      <c r="R29" s="163">
        <f t="shared" si="5"/>
        <v>56</v>
      </c>
    </row>
    <row r="30" spans="1:19" ht="12" x14ac:dyDescent="0.2">
      <c r="A30" s="163" t="s">
        <v>235</v>
      </c>
      <c r="B30" s="163" t="s">
        <v>170</v>
      </c>
      <c r="C30" s="92" t="s">
        <v>212</v>
      </c>
      <c r="D30" s="162" t="s">
        <v>153</v>
      </c>
      <c r="E30" s="154">
        <v>2</v>
      </c>
      <c r="F30" s="154">
        <v>3</v>
      </c>
      <c r="G30" s="91">
        <v>18</v>
      </c>
      <c r="H30" s="91">
        <v>25</v>
      </c>
      <c r="I30" s="163">
        <v>25</v>
      </c>
      <c r="J30" s="94">
        <v>22</v>
      </c>
      <c r="K30" s="91">
        <v>18</v>
      </c>
      <c r="L30" s="91">
        <v>25</v>
      </c>
      <c r="M30" s="163">
        <v>25</v>
      </c>
      <c r="N30" s="163">
        <v>23</v>
      </c>
      <c r="O30" s="91">
        <v>11</v>
      </c>
      <c r="P30" s="91">
        <v>15</v>
      </c>
      <c r="Q30" s="163">
        <f t="shared" si="4"/>
        <v>97</v>
      </c>
      <c r="R30" s="163">
        <f t="shared" si="5"/>
        <v>110</v>
      </c>
    </row>
    <row r="31" spans="1:19" ht="12" x14ac:dyDescent="0.2">
      <c r="A31" s="163" t="s">
        <v>236</v>
      </c>
      <c r="B31" s="163" t="s">
        <v>170</v>
      </c>
      <c r="C31" s="92" t="s">
        <v>174</v>
      </c>
      <c r="D31" s="162" t="s">
        <v>207</v>
      </c>
      <c r="E31" s="154">
        <v>3</v>
      </c>
      <c r="F31" s="154">
        <v>0</v>
      </c>
      <c r="G31" s="91">
        <v>25</v>
      </c>
      <c r="H31" s="91">
        <v>22</v>
      </c>
      <c r="I31" s="163">
        <v>25</v>
      </c>
      <c r="J31" s="94">
        <v>10</v>
      </c>
      <c r="K31" s="91">
        <v>26</v>
      </c>
      <c r="L31" s="91">
        <v>24</v>
      </c>
      <c r="M31" s="163">
        <v>0</v>
      </c>
      <c r="N31" s="163">
        <v>0</v>
      </c>
      <c r="O31" s="91">
        <v>0</v>
      </c>
      <c r="P31" s="91">
        <v>0</v>
      </c>
      <c r="Q31" s="163">
        <f t="shared" si="4"/>
        <v>76</v>
      </c>
      <c r="R31" s="163">
        <f t="shared" si="5"/>
        <v>56</v>
      </c>
    </row>
    <row r="32" spans="1:19" ht="12" x14ac:dyDescent="0.2">
      <c r="A32" s="163" t="s">
        <v>237</v>
      </c>
      <c r="B32" s="163" t="s">
        <v>170</v>
      </c>
      <c r="C32" s="92" t="s">
        <v>209</v>
      </c>
      <c r="D32" s="162" t="s">
        <v>150</v>
      </c>
      <c r="E32" s="154">
        <v>3</v>
      </c>
      <c r="F32" s="154">
        <v>0</v>
      </c>
      <c r="G32" s="91">
        <v>25</v>
      </c>
      <c r="H32" s="91">
        <v>17</v>
      </c>
      <c r="I32" s="163">
        <v>25</v>
      </c>
      <c r="J32" s="94">
        <v>21</v>
      </c>
      <c r="K32" s="91">
        <v>25</v>
      </c>
      <c r="L32" s="91">
        <v>20</v>
      </c>
      <c r="M32" s="163">
        <v>0</v>
      </c>
      <c r="N32" s="163">
        <v>0</v>
      </c>
      <c r="O32" s="91">
        <v>0</v>
      </c>
      <c r="P32" s="91">
        <v>0</v>
      </c>
      <c r="Q32" s="163">
        <f t="shared" si="4"/>
        <v>75</v>
      </c>
      <c r="R32" s="163">
        <f t="shared" si="5"/>
        <v>58</v>
      </c>
    </row>
    <row r="33" spans="1:18" ht="12" x14ac:dyDescent="0.2">
      <c r="A33" s="163" t="s">
        <v>238</v>
      </c>
      <c r="B33" s="163" t="s">
        <v>170</v>
      </c>
      <c r="C33" s="92" t="s">
        <v>206</v>
      </c>
      <c r="D33" s="162" t="s">
        <v>149</v>
      </c>
      <c r="E33" s="154">
        <v>1</v>
      </c>
      <c r="F33" s="154">
        <v>3</v>
      </c>
      <c r="G33" s="91">
        <v>25</v>
      </c>
      <c r="H33" s="91">
        <v>22</v>
      </c>
      <c r="I33" s="163">
        <v>11</v>
      </c>
      <c r="J33" s="94">
        <v>25</v>
      </c>
      <c r="K33" s="91">
        <v>14</v>
      </c>
      <c r="L33" s="91">
        <v>25</v>
      </c>
      <c r="M33" s="163">
        <v>23</v>
      </c>
      <c r="N33" s="163">
        <v>25</v>
      </c>
      <c r="O33" s="91">
        <v>0</v>
      </c>
      <c r="P33" s="91">
        <v>0</v>
      </c>
      <c r="Q33" s="163">
        <f t="shared" si="4"/>
        <v>73</v>
      </c>
      <c r="R33" s="163">
        <f t="shared" si="5"/>
        <v>97</v>
      </c>
    </row>
    <row r="34" spans="1:18" ht="12" x14ac:dyDescent="0.2">
      <c r="A34" s="163" t="s">
        <v>239</v>
      </c>
      <c r="B34" s="163" t="s">
        <v>170</v>
      </c>
      <c r="C34" s="92" t="s">
        <v>205</v>
      </c>
      <c r="D34" s="162" t="s">
        <v>212</v>
      </c>
      <c r="E34" s="154">
        <v>3</v>
      </c>
      <c r="F34" s="154">
        <v>0</v>
      </c>
      <c r="G34" s="91">
        <v>25</v>
      </c>
      <c r="H34" s="91">
        <v>20</v>
      </c>
      <c r="I34" s="163">
        <v>25</v>
      </c>
      <c r="J34" s="94">
        <v>14</v>
      </c>
      <c r="K34" s="91">
        <v>25</v>
      </c>
      <c r="L34" s="91">
        <v>22</v>
      </c>
      <c r="M34" s="163">
        <v>0</v>
      </c>
      <c r="N34" s="163">
        <v>0</v>
      </c>
      <c r="O34" s="91">
        <v>0</v>
      </c>
      <c r="P34" s="91">
        <v>0</v>
      </c>
      <c r="Q34" s="163">
        <f t="shared" si="4"/>
        <v>75</v>
      </c>
      <c r="R34" s="163">
        <f t="shared" si="5"/>
        <v>56</v>
      </c>
    </row>
    <row r="35" spans="1:18" ht="12" x14ac:dyDescent="0.2">
      <c r="A35" s="163" t="s">
        <v>240</v>
      </c>
      <c r="B35" s="163" t="s">
        <v>170</v>
      </c>
      <c r="C35" s="92" t="s">
        <v>172</v>
      </c>
      <c r="D35" s="162" t="s">
        <v>174</v>
      </c>
      <c r="E35" s="154">
        <v>1</v>
      </c>
      <c r="F35" s="154">
        <v>3</v>
      </c>
      <c r="G35" s="91">
        <v>18</v>
      </c>
      <c r="H35" s="91">
        <v>25</v>
      </c>
      <c r="I35" s="163">
        <v>18</v>
      </c>
      <c r="J35" s="94">
        <v>25</v>
      </c>
      <c r="K35" s="91">
        <v>25</v>
      </c>
      <c r="L35" s="91">
        <v>23</v>
      </c>
      <c r="M35" s="163">
        <v>12</v>
      </c>
      <c r="N35" s="163">
        <v>25</v>
      </c>
      <c r="O35" s="91">
        <v>0</v>
      </c>
      <c r="P35" s="91">
        <v>0</v>
      </c>
      <c r="Q35" s="163">
        <f t="shared" si="4"/>
        <v>73</v>
      </c>
      <c r="R35" s="163">
        <f t="shared" si="5"/>
        <v>98</v>
      </c>
    </row>
    <row r="36" spans="1:18" ht="12" x14ac:dyDescent="0.2">
      <c r="A36" s="163" t="s">
        <v>241</v>
      </c>
      <c r="B36" s="163" t="s">
        <v>170</v>
      </c>
      <c r="C36" s="92" t="s">
        <v>153</v>
      </c>
      <c r="D36" s="162" t="s">
        <v>209</v>
      </c>
      <c r="E36" s="154">
        <v>0</v>
      </c>
      <c r="F36" s="154">
        <v>3</v>
      </c>
      <c r="G36" s="91">
        <v>12</v>
      </c>
      <c r="H36" s="91">
        <v>25</v>
      </c>
      <c r="I36" s="163">
        <v>7</v>
      </c>
      <c r="J36" s="94">
        <v>25</v>
      </c>
      <c r="K36" s="91">
        <v>6</v>
      </c>
      <c r="L36" s="91">
        <v>25</v>
      </c>
      <c r="M36" s="163">
        <v>0</v>
      </c>
      <c r="N36" s="163">
        <v>0</v>
      </c>
      <c r="O36" s="91">
        <v>0</v>
      </c>
      <c r="P36" s="91">
        <v>0</v>
      </c>
      <c r="Q36" s="163">
        <f t="shared" si="4"/>
        <v>25</v>
      </c>
      <c r="R36" s="163">
        <f t="shared" si="5"/>
        <v>75</v>
      </c>
    </row>
    <row r="37" spans="1:18" ht="12" x14ac:dyDescent="0.2">
      <c r="A37" s="163" t="s">
        <v>242</v>
      </c>
      <c r="B37" s="163" t="s">
        <v>170</v>
      </c>
      <c r="C37" s="92" t="s">
        <v>207</v>
      </c>
      <c r="D37" s="162" t="s">
        <v>206</v>
      </c>
      <c r="E37" s="154">
        <v>2</v>
      </c>
      <c r="F37" s="154">
        <v>3</v>
      </c>
      <c r="G37" s="91">
        <v>25</v>
      </c>
      <c r="H37" s="91">
        <v>23</v>
      </c>
      <c r="I37" s="163">
        <v>8</v>
      </c>
      <c r="J37" s="94">
        <v>25</v>
      </c>
      <c r="K37" s="91">
        <v>12</v>
      </c>
      <c r="L37" s="91">
        <v>25</v>
      </c>
      <c r="M37" s="163">
        <v>25</v>
      </c>
      <c r="N37" s="163">
        <v>23</v>
      </c>
      <c r="O37" s="91">
        <v>7</v>
      </c>
      <c r="P37" s="91">
        <v>15</v>
      </c>
      <c r="Q37" s="163">
        <f t="shared" si="4"/>
        <v>77</v>
      </c>
      <c r="R37" s="163">
        <f t="shared" si="5"/>
        <v>111</v>
      </c>
    </row>
    <row r="38" spans="1:18" ht="12" x14ac:dyDescent="0.2">
      <c r="A38" s="163" t="s">
        <v>243</v>
      </c>
      <c r="B38" s="163" t="s">
        <v>170</v>
      </c>
      <c r="C38" s="92" t="s">
        <v>150</v>
      </c>
      <c r="D38" s="162" t="s">
        <v>149</v>
      </c>
      <c r="E38" s="154">
        <v>0</v>
      </c>
      <c r="F38" s="154">
        <v>3</v>
      </c>
      <c r="G38" s="91">
        <v>22</v>
      </c>
      <c r="H38" s="91">
        <v>25</v>
      </c>
      <c r="I38" s="163">
        <v>13</v>
      </c>
      <c r="J38" s="94">
        <v>25</v>
      </c>
      <c r="K38" s="91">
        <v>17</v>
      </c>
      <c r="L38" s="91">
        <v>25</v>
      </c>
      <c r="M38" s="163">
        <v>0</v>
      </c>
      <c r="N38" s="163">
        <v>0</v>
      </c>
      <c r="O38" s="91">
        <v>0</v>
      </c>
      <c r="P38" s="91">
        <v>0</v>
      </c>
      <c r="Q38" s="163">
        <f t="shared" si="4"/>
        <v>52</v>
      </c>
      <c r="R38" s="163">
        <f t="shared" si="5"/>
        <v>75</v>
      </c>
    </row>
    <row r="39" spans="1:18" ht="12" x14ac:dyDescent="0.2">
      <c r="A39" s="163" t="s">
        <v>244</v>
      </c>
      <c r="B39" s="163" t="s">
        <v>170</v>
      </c>
      <c r="C39" s="92" t="s">
        <v>174</v>
      </c>
      <c r="D39" s="162" t="s">
        <v>205</v>
      </c>
      <c r="E39" s="154">
        <v>0</v>
      </c>
      <c r="F39" s="154">
        <v>3</v>
      </c>
      <c r="G39" s="91">
        <v>18</v>
      </c>
      <c r="H39" s="91">
        <v>25</v>
      </c>
      <c r="I39" s="163">
        <v>13</v>
      </c>
      <c r="J39" s="94">
        <v>25</v>
      </c>
      <c r="K39" s="91">
        <v>22</v>
      </c>
      <c r="L39" s="91">
        <v>25</v>
      </c>
      <c r="M39" s="163">
        <v>0</v>
      </c>
      <c r="N39" s="163">
        <v>0</v>
      </c>
      <c r="O39" s="91">
        <v>0</v>
      </c>
      <c r="P39" s="91">
        <v>0</v>
      </c>
      <c r="Q39" s="163">
        <f t="shared" si="4"/>
        <v>53</v>
      </c>
      <c r="R39" s="163">
        <f t="shared" si="5"/>
        <v>75</v>
      </c>
    </row>
    <row r="40" spans="1:18" ht="12" x14ac:dyDescent="0.2">
      <c r="A40" s="163" t="s">
        <v>245</v>
      </c>
      <c r="B40" s="163" t="s">
        <v>170</v>
      </c>
      <c r="C40" s="92" t="s">
        <v>209</v>
      </c>
      <c r="D40" s="162" t="s">
        <v>212</v>
      </c>
      <c r="E40" s="154">
        <v>3</v>
      </c>
      <c r="F40" s="154">
        <v>0</v>
      </c>
      <c r="G40" s="91">
        <v>25</v>
      </c>
      <c r="H40" s="91">
        <v>13</v>
      </c>
      <c r="I40" s="163">
        <v>25</v>
      </c>
      <c r="J40" s="94">
        <v>8</v>
      </c>
      <c r="K40" s="91">
        <v>25</v>
      </c>
      <c r="L40" s="91">
        <v>16</v>
      </c>
      <c r="M40" s="163">
        <v>0</v>
      </c>
      <c r="N40" s="163">
        <v>0</v>
      </c>
      <c r="O40" s="91">
        <v>0</v>
      </c>
      <c r="P40" s="91">
        <v>0</v>
      </c>
      <c r="Q40" s="163">
        <f t="shared" si="4"/>
        <v>75</v>
      </c>
      <c r="R40" s="163">
        <f t="shared" si="5"/>
        <v>37</v>
      </c>
    </row>
    <row r="41" spans="1:18" ht="12" x14ac:dyDescent="0.2">
      <c r="A41" s="163" t="s">
        <v>246</v>
      </c>
      <c r="B41" s="163" t="s">
        <v>170</v>
      </c>
      <c r="C41" s="92" t="s">
        <v>206</v>
      </c>
      <c r="D41" s="162" t="s">
        <v>172</v>
      </c>
      <c r="E41" s="154">
        <v>1</v>
      </c>
      <c r="F41" s="154">
        <v>3</v>
      </c>
      <c r="G41" s="91">
        <v>25</v>
      </c>
      <c r="H41" s="91">
        <v>13</v>
      </c>
      <c r="I41" s="163">
        <v>21</v>
      </c>
      <c r="J41" s="94">
        <v>25</v>
      </c>
      <c r="K41" s="91">
        <v>15</v>
      </c>
      <c r="L41" s="91">
        <v>25</v>
      </c>
      <c r="M41" s="163">
        <v>23</v>
      </c>
      <c r="N41" s="163">
        <v>25</v>
      </c>
      <c r="O41" s="91">
        <v>0</v>
      </c>
      <c r="P41" s="91">
        <v>0</v>
      </c>
      <c r="Q41" s="163">
        <f t="shared" si="4"/>
        <v>84</v>
      </c>
      <c r="R41" s="163">
        <f t="shared" si="5"/>
        <v>88</v>
      </c>
    </row>
    <row r="42" spans="1:18" ht="12" x14ac:dyDescent="0.2">
      <c r="A42" s="163" t="s">
        <v>247</v>
      </c>
      <c r="B42" s="163" t="s">
        <v>170</v>
      </c>
      <c r="C42" s="92" t="s">
        <v>149</v>
      </c>
      <c r="D42" s="162" t="s">
        <v>153</v>
      </c>
      <c r="E42" s="154">
        <v>3</v>
      </c>
      <c r="F42" s="154">
        <v>0</v>
      </c>
      <c r="G42" s="91">
        <v>25</v>
      </c>
      <c r="H42" s="91">
        <v>14</v>
      </c>
      <c r="I42" s="163">
        <v>25</v>
      </c>
      <c r="J42" s="94">
        <v>16</v>
      </c>
      <c r="K42" s="91">
        <v>25</v>
      </c>
      <c r="L42" s="91">
        <v>23</v>
      </c>
      <c r="M42" s="163">
        <v>0</v>
      </c>
      <c r="N42" s="163">
        <v>0</v>
      </c>
      <c r="O42" s="91">
        <v>0</v>
      </c>
      <c r="P42" s="91">
        <v>0</v>
      </c>
      <c r="Q42" s="163">
        <f t="shared" si="4"/>
        <v>75</v>
      </c>
      <c r="R42" s="163">
        <f t="shared" si="5"/>
        <v>53</v>
      </c>
    </row>
    <row r="43" spans="1:18" ht="12" x14ac:dyDescent="0.2">
      <c r="A43" s="163" t="s">
        <v>248</v>
      </c>
      <c r="B43" s="163" t="s">
        <v>170</v>
      </c>
      <c r="C43" s="92" t="s">
        <v>150</v>
      </c>
      <c r="D43" s="162" t="s">
        <v>207</v>
      </c>
      <c r="E43" s="154">
        <v>3</v>
      </c>
      <c r="F43" s="154">
        <v>0</v>
      </c>
      <c r="G43" s="91">
        <v>25</v>
      </c>
      <c r="H43" s="91">
        <v>10</v>
      </c>
      <c r="I43" s="163">
        <v>25</v>
      </c>
      <c r="J43" s="94">
        <v>10</v>
      </c>
      <c r="K43" s="91">
        <v>25</v>
      </c>
      <c r="L43" s="91">
        <v>15</v>
      </c>
      <c r="M43" s="163">
        <v>0</v>
      </c>
      <c r="N43" s="163">
        <v>0</v>
      </c>
      <c r="O43" s="91">
        <v>0</v>
      </c>
      <c r="P43" s="91">
        <v>0</v>
      </c>
      <c r="Q43" s="163">
        <f t="shared" si="4"/>
        <v>75</v>
      </c>
      <c r="R43" s="163">
        <f t="shared" si="5"/>
        <v>35</v>
      </c>
    </row>
    <row r="44" spans="1:18" ht="12" x14ac:dyDescent="0.2">
      <c r="A44" s="163" t="s">
        <v>249</v>
      </c>
      <c r="B44" s="163" t="s">
        <v>170</v>
      </c>
      <c r="C44" s="92" t="s">
        <v>205</v>
      </c>
      <c r="D44" s="162" t="s">
        <v>209</v>
      </c>
      <c r="E44" s="154">
        <v>0</v>
      </c>
      <c r="F44" s="154">
        <v>3</v>
      </c>
      <c r="G44" s="91">
        <v>10</v>
      </c>
      <c r="H44" s="91">
        <v>25</v>
      </c>
      <c r="I44" s="163">
        <v>19</v>
      </c>
      <c r="J44" s="94">
        <v>25</v>
      </c>
      <c r="K44" s="91">
        <v>15</v>
      </c>
      <c r="L44" s="91">
        <v>25</v>
      </c>
      <c r="M44" s="163">
        <v>0</v>
      </c>
      <c r="N44" s="163">
        <v>0</v>
      </c>
      <c r="O44" s="91">
        <v>0</v>
      </c>
      <c r="P44" s="91">
        <v>0</v>
      </c>
      <c r="Q44" s="163">
        <f t="shared" si="4"/>
        <v>44</v>
      </c>
      <c r="R44" s="163">
        <f t="shared" si="5"/>
        <v>75</v>
      </c>
    </row>
    <row r="45" spans="1:18" ht="12" x14ac:dyDescent="0.2">
      <c r="A45" s="163" t="s">
        <v>250</v>
      </c>
      <c r="B45" s="163" t="s">
        <v>170</v>
      </c>
      <c r="C45" s="92" t="s">
        <v>174</v>
      </c>
      <c r="D45" s="162" t="s">
        <v>206</v>
      </c>
      <c r="E45" s="154">
        <v>1</v>
      </c>
      <c r="F45" s="154">
        <v>3</v>
      </c>
      <c r="G45" s="91">
        <v>13</v>
      </c>
      <c r="H45" s="91">
        <v>25</v>
      </c>
      <c r="I45" s="163">
        <v>11</v>
      </c>
      <c r="J45" s="94">
        <v>25</v>
      </c>
      <c r="K45" s="91">
        <v>25</v>
      </c>
      <c r="L45" s="91">
        <v>21</v>
      </c>
      <c r="M45" s="163">
        <v>16</v>
      </c>
      <c r="N45" s="163">
        <v>25</v>
      </c>
      <c r="O45" s="91">
        <v>0</v>
      </c>
      <c r="P45" s="91">
        <v>0</v>
      </c>
      <c r="Q45" s="163">
        <f t="shared" si="4"/>
        <v>65</v>
      </c>
      <c r="R45" s="163">
        <f t="shared" si="5"/>
        <v>96</v>
      </c>
    </row>
    <row r="46" spans="1:18" ht="12" x14ac:dyDescent="0.2">
      <c r="A46" s="163" t="s">
        <v>251</v>
      </c>
      <c r="B46" s="163" t="s">
        <v>170</v>
      </c>
      <c r="C46" s="92" t="s">
        <v>212</v>
      </c>
      <c r="D46" s="162" t="s">
        <v>149</v>
      </c>
      <c r="E46" s="154">
        <v>0</v>
      </c>
      <c r="F46" s="154">
        <v>3</v>
      </c>
      <c r="G46" s="91">
        <v>22</v>
      </c>
      <c r="H46" s="91">
        <v>25</v>
      </c>
      <c r="I46" s="163">
        <v>14</v>
      </c>
      <c r="J46" s="94">
        <v>25</v>
      </c>
      <c r="K46" s="91">
        <v>18</v>
      </c>
      <c r="L46" s="91">
        <v>25</v>
      </c>
      <c r="M46" s="163">
        <v>0</v>
      </c>
      <c r="N46" s="163">
        <v>0</v>
      </c>
      <c r="O46" s="91">
        <v>0</v>
      </c>
      <c r="P46" s="91">
        <v>0</v>
      </c>
      <c r="Q46" s="163">
        <f t="shared" si="4"/>
        <v>54</v>
      </c>
      <c r="R46" s="163">
        <f t="shared" si="5"/>
        <v>75</v>
      </c>
    </row>
    <row r="47" spans="1:18" ht="12" x14ac:dyDescent="0.2">
      <c r="A47" s="163" t="s">
        <v>252</v>
      </c>
      <c r="B47" s="163" t="s">
        <v>170</v>
      </c>
      <c r="C47" s="92" t="s">
        <v>172</v>
      </c>
      <c r="D47" s="162" t="s">
        <v>150</v>
      </c>
      <c r="E47" s="154">
        <v>0</v>
      </c>
      <c r="F47" s="154">
        <v>3</v>
      </c>
      <c r="G47" s="91">
        <v>17</v>
      </c>
      <c r="H47" s="91">
        <v>25</v>
      </c>
      <c r="I47" s="163">
        <v>18</v>
      </c>
      <c r="J47" s="94">
        <v>25</v>
      </c>
      <c r="K47" s="91">
        <v>18</v>
      </c>
      <c r="L47" s="91">
        <v>25</v>
      </c>
      <c r="M47" s="163">
        <v>0</v>
      </c>
      <c r="N47" s="163">
        <v>0</v>
      </c>
      <c r="O47" s="91">
        <v>0</v>
      </c>
      <c r="P47" s="91">
        <v>0</v>
      </c>
      <c r="Q47" s="163">
        <f t="shared" si="4"/>
        <v>53</v>
      </c>
      <c r="R47" s="163">
        <f t="shared" si="5"/>
        <v>75</v>
      </c>
    </row>
    <row r="48" spans="1:18" ht="12" x14ac:dyDescent="0.2">
      <c r="A48" s="163" t="s">
        <v>253</v>
      </c>
      <c r="B48" s="163" t="s">
        <v>170</v>
      </c>
      <c r="C48" s="92" t="s">
        <v>153</v>
      </c>
      <c r="D48" s="162" t="s">
        <v>207</v>
      </c>
      <c r="E48" s="154">
        <v>2</v>
      </c>
      <c r="F48" s="154">
        <v>3</v>
      </c>
      <c r="G48" s="91">
        <v>25</v>
      </c>
      <c r="H48" s="91">
        <v>11</v>
      </c>
      <c r="I48" s="163">
        <v>25</v>
      </c>
      <c r="J48" s="94">
        <v>19</v>
      </c>
      <c r="K48" s="91">
        <v>22</v>
      </c>
      <c r="L48" s="91">
        <v>25</v>
      </c>
      <c r="M48" s="163">
        <v>24</v>
      </c>
      <c r="N48" s="163">
        <v>26</v>
      </c>
      <c r="O48" s="91">
        <v>8</v>
      </c>
      <c r="P48" s="91">
        <v>15</v>
      </c>
      <c r="Q48" s="163">
        <f t="shared" si="4"/>
        <v>104</v>
      </c>
      <c r="R48" s="163">
        <f t="shared" si="5"/>
        <v>96</v>
      </c>
    </row>
  </sheetData>
  <sheetProtection selectLockedCells="1" selectUnlockedCells="1"/>
  <sortState ref="U4:AL13">
    <sortCondition descending="1" ref="V4:V13"/>
    <sortCondition descending="1" ref="AC4:AC13"/>
    <sortCondition descending="1" ref="AF4:AF13"/>
  </sortState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GridLines="0" zoomScaleNormal="100" workbookViewId="0">
      <selection activeCell="A15" sqref="A15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4" width="26.140625" style="66" bestFit="1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6.140625" style="17" bestFit="1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63" t="s">
        <v>254</v>
      </c>
      <c r="B4" s="163" t="s">
        <v>170</v>
      </c>
      <c r="C4" s="162" t="s">
        <v>149</v>
      </c>
      <c r="D4" s="90" t="s">
        <v>206</v>
      </c>
      <c r="E4" s="154">
        <v>3</v>
      </c>
      <c r="F4" s="154">
        <v>1</v>
      </c>
      <c r="G4" s="91">
        <v>25</v>
      </c>
      <c r="H4" s="91">
        <v>17</v>
      </c>
      <c r="I4" s="163">
        <v>25</v>
      </c>
      <c r="J4" s="163">
        <v>17</v>
      </c>
      <c r="K4" s="91">
        <v>23</v>
      </c>
      <c r="L4" s="91">
        <v>25</v>
      </c>
      <c r="M4" s="163">
        <v>25</v>
      </c>
      <c r="N4" s="163">
        <v>16</v>
      </c>
      <c r="O4" s="91">
        <v>0</v>
      </c>
      <c r="P4" s="91">
        <v>0</v>
      </c>
      <c r="Q4" s="163">
        <f>G4+I4+K4+M4+O4</f>
        <v>98</v>
      </c>
      <c r="R4" s="163">
        <f>H4+J4+L4+N4+P4</f>
        <v>75</v>
      </c>
      <c r="T4" s="162">
        <v>1</v>
      </c>
      <c r="U4" s="194" t="s">
        <v>369</v>
      </c>
      <c r="V4" s="99">
        <f>AG4*3+AH4*3+AI4*2+AJ4*1+(ROUNDUP(WomenLeagueGames1stRound!V4/2,0))</f>
        <v>37</v>
      </c>
      <c r="W4" s="104">
        <f>X4+Y4+Z4</f>
        <v>8</v>
      </c>
      <c r="X4" s="104">
        <f>COUNTIF($F$7,"=3")+COUNTIF($E$8,"=3")+COUNTIF($F$10,"=3")+COUNTIF($E$12,"=3")+COUNTIF($E$17,"=3")+COUNTIF($F$18,"=3")+COUNTIF($E$20,"=3")+COUNTIF($F$23,"=3")</f>
        <v>8</v>
      </c>
      <c r="Y4" s="103">
        <f>SUM(IF($F$7&lt;$E$7,1,0))+SUM(IF($E$8&lt;$F$8,1,0))+SUM(IF($F$10&lt;$E$10,1,0))+SUM(IF($E$12&lt;$F$12,1,0))+SUM(IF($E$17&lt;$F$17,1,0))+SUM(IF($F$18&lt;$E$18,1,0))+SUM(IF($E$20&lt;$F$20,1,0))+SUM(IF($F$23&lt;$E$23,1,0))</f>
        <v>0</v>
      </c>
      <c r="Z4" s="101"/>
      <c r="AA4" s="93">
        <f>$F$7+$E$8+$F$10+$E$12+$E$17+$F$18+$E$20+$F$23</f>
        <v>24</v>
      </c>
      <c r="AB4" s="93">
        <f>$E$7+$F$8+$E$10+$F$12+$F$17+$E$18+$F$20+$E$23</f>
        <v>4</v>
      </c>
      <c r="AC4" s="163">
        <f>IF(AB4=0,"MAX",AA4/AB4)</f>
        <v>6</v>
      </c>
      <c r="AD4" s="93">
        <f>$R$7+$Q$8+$R$10+$Q$12+$Q$17+$R$18+$Q$20+$R$23</f>
        <v>674</v>
      </c>
      <c r="AE4" s="93">
        <f>$Q$7+$R$8+$Q$10+$R$12+$R$17+$Q$18+$R$20+$Q$23</f>
        <v>527</v>
      </c>
      <c r="AF4" s="163">
        <f>IF(AE4=0,"MAX",AD4/AE4)</f>
        <v>1.2789373814041747</v>
      </c>
      <c r="AG4" s="163">
        <f>SUM(IF(AND($F$7=3,$E$7=0),1,0))+SUM(IF(AND($E$8=3,$F$8=0),1,0))+SUM(IF(AND($F$10=3,$E$10=0),1,0))+SUM(IF(AND($E$12=3,$F$12=0),1,0))+SUM(IF(AND($E$17=3,$F$17=0),1,0))+SUM(IF(AND($F$18=3,$E$18=0),1,0))+SUM(IF(AND($E$20=3,$F$20=0),1,0))+SUM(IF(AND($F$23=3,$E$23=0),1,0))</f>
        <v>5</v>
      </c>
      <c r="AH4" s="163">
        <f>SUM(IF(AND($F$7=3,$E$7=1),1,0))+SUM(IF(AND($E$8=3,$F$8=1),1,0))+SUM(IF(AND($F$10=3,$E$10=1),1,0))+SUM(IF(AND($E$12=3,$F$12=1),1,0))+SUM(IF(AND($E$17=3,$F$17=1),1,0))+SUM(IF(AND($F$18=3,$E$18=1),1,0))+SUM(IF(AND($E$20=3,$F$20=1),1,0))+SUM(IF(AND($F$23=3,$E$23=1),1,0))</f>
        <v>2</v>
      </c>
      <c r="AI4" s="163">
        <f>SUM(IF(AND($F$7=3,$E$7=2),1,0))+SUM(IF(AND($E$8=3,$F$8=2),1,0))+SUM(IF(AND($F$10=3,$E$10=2),1,0))+SUM(IF(AND($E$12=3,$F$12=2),1,0))+SUM(IF(AND($E$17=3,$F$17=2),1,0))+SUM(IF(AND($F$18=3,$E$18=2),1,0))+SUM(IF(AND($E$20=3,$F$20=2),1,0))+SUM(IF(AND($F$23=3,$E$23=2),1,0))</f>
        <v>1</v>
      </c>
      <c r="AJ4" s="163">
        <f>SUM(IF(AND($F$7=2,$E$7=3),1,0))+SUM(IF(AND($E$8=2,$F$8=3),1,0))+SUM(IF(AND($F$10=2,$E$10=3),1,0))+SUM(IF(AND($E$12=2,$F$12=3),1,0))+SUM(IF(AND($E$17=2,$F$17=3),1,0))+SUM(IF(AND($F$18=2,$E$18=3),1,0))+SUM(IF(AND($E$20=2,$F$20=3),1,0))+SUM(IF(AND($F$23=2,$E$23=3),1,0))</f>
        <v>0</v>
      </c>
      <c r="AK4" s="163">
        <f>SUM(IF(AND($F$7=1,$E$7=3),1,0))+SUM(IF(AND($E$8=1,$F$8=3),1,0))+SUM(IF(AND($F$10=1,$E$10=3),1,0))+SUM(IF(AND($E$12=1,$F$12=3),1,0))+SUM(IF(AND($E$17=1,$F$17=3),1,0))+SUM(IF(AND($F$18=1,$E$18=3),1,0))+SUM(IF(AND($E$20=1,$F$20=3),1,0))+SUM(IF(AND($F$23=1,$E$23=3),1,0))</f>
        <v>0</v>
      </c>
      <c r="AL4" s="163">
        <f>SUM(IF(AND($F$7=0,$E$7=3),1,0))+SUM(IF(AND($E$8=0,$F$8=3),1,0))+SUM(IF(AND($F$10=0,$E$10=3),1,0))+SUM(IF(AND($E$12=0,$F$12=3),1,0))+SUM(IF(AND($E$17=0,$F$17=3),1,0))+SUM(IF(AND($F$18=0,$E$18=3),1,0))+SUM(IF(AND($E$20=0,$F$20=3),1,0))+SUM(IF(AND($F$23=0,$E$23=3),1,0))</f>
        <v>0</v>
      </c>
    </row>
    <row r="5" spans="1:38" ht="12" x14ac:dyDescent="0.2">
      <c r="A5" s="163" t="s">
        <v>255</v>
      </c>
      <c r="B5" s="163" t="s">
        <v>170</v>
      </c>
      <c r="C5" s="90" t="s">
        <v>368</v>
      </c>
      <c r="D5" s="92" t="s">
        <v>150</v>
      </c>
      <c r="E5" s="154">
        <v>0</v>
      </c>
      <c r="F5" s="154">
        <v>3</v>
      </c>
      <c r="G5" s="91">
        <v>14</v>
      </c>
      <c r="H5" s="91">
        <v>25</v>
      </c>
      <c r="I5" s="163">
        <v>16</v>
      </c>
      <c r="J5" s="163">
        <v>25</v>
      </c>
      <c r="K5" s="91">
        <v>12</v>
      </c>
      <c r="L5" s="91">
        <v>25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R21" si="0">G5+I5+K5+M5+O5</f>
        <v>42</v>
      </c>
      <c r="R5" s="163">
        <f t="shared" si="0"/>
        <v>75</v>
      </c>
      <c r="T5" s="162">
        <v>2</v>
      </c>
      <c r="U5" s="195" t="s">
        <v>149</v>
      </c>
      <c r="V5" s="99">
        <f>AG5*3+AH5*3+AI5*2+AJ5*1+(ROUNDUP(WomenLeagueGames1stRound!V5/2,0))</f>
        <v>27</v>
      </c>
      <c r="W5" s="104">
        <f>X5+Y5+Z5</f>
        <v>8</v>
      </c>
      <c r="X5" s="104">
        <f>COUNTIF($E$4,"=3")+COUNTIF($E$6,"=3")+COUNTIF($F$9,"=3")+COUNTIF($F$12,"=3")+COUNTIF($F$14,"=3")+COUNTIF($F$16,"=3")+COUNTIF($E$19,"=3")+COUNTIF($E$23,"=3")</f>
        <v>5</v>
      </c>
      <c r="Y5" s="103">
        <f>SUM(IF($E$4&lt;$F$4,1,0))+SUM(IF($E$6&lt;$F$6,1,0))+SUM(IF($F$9&lt;$E$9,1,0))+SUM(IF($F$12&lt;$E$12,1,0))+SUM(IF($F$14&lt;$E$14,1,0))+SUM(IF($F$16&lt;$E$16,1,0))+SUM(IF($E$19&lt;$F$19,1,0))+SUM(IF($E$23&lt;$F$23,1,0))</f>
        <v>3</v>
      </c>
      <c r="Z5" s="101"/>
      <c r="AA5" s="93">
        <f>$E$4+$E$6+$F$9+$F$12+$F$14+$F$16+$E$19+$E$23</f>
        <v>19</v>
      </c>
      <c r="AB5" s="93">
        <f>$F$4+$F$6+$E$9+$E$12+$E$14+$E$16+$F$19+$F$23</f>
        <v>13</v>
      </c>
      <c r="AC5" s="163">
        <f>IF(AB5=0,"MAX",AA5/AB5)</f>
        <v>1.4615384615384615</v>
      </c>
      <c r="AD5" s="93">
        <f>$Q$4+$Q$6+$R$9+$R$12+$R$14+$R$16+$Q$19+$Q$23</f>
        <v>734</v>
      </c>
      <c r="AE5" s="93">
        <f>$R$4+$R$6+$Q$9+$Q$12+$Q$14+$Q$16+$R$19+$R$23</f>
        <v>649</v>
      </c>
      <c r="AF5" s="163">
        <f>IF(AE5=0,"MAX",AD5/AE5)</f>
        <v>1.1309707241910631</v>
      </c>
      <c r="AG5" s="163">
        <f>SUM(IF(AND($E$4=3,$F$4=0),1,0))+SUM(IF(AND($E$6=3,$F$6=0),1,0))+SUM(IF(AND($F$9=3,$E$9=0),1,0))+SUM(IF(AND($F$12=3,$E$12=0),1,0))+SUM(IF(AND($F$14=3,$E$14=0),1,0))+SUM(IF(AND($F$16=3,$E$16=0),1,0))+SUM(IF(AND($E$19=3,$F$19=0),1,0))+SUM(IF(AND($E$23=3,$F$23=0),1,0))</f>
        <v>2</v>
      </c>
      <c r="AH5" s="163">
        <f>SUM(IF(AND($E$4=3,$F$4=1),1,0))+SUM(IF(AND($E$6=3,$F$6=1),1,0))+SUM(IF(AND($F$9=3,$E$9=1),1,0))+SUM(IF(AND($F$12=3,$E$12=1),1,0))+SUM(IF(AND($F$14=3,$E$14=1),1,0))+SUM(IF(AND($F$16=3,$E$16=1),1,0))+SUM(IF(AND($E$19=3,$F$19=1),1,0))+SUM(IF(AND($E$23=3,$F$23=1),1,0))</f>
        <v>2</v>
      </c>
      <c r="AI5" s="163">
        <f>SUM(IF(AND($E$4=3,$F$4=2),1,0))+SUM(IF(AND($E$6=3,$F$6=2),1,0))+SUM(IF(AND($F$9=3,$E$9=2),1,0))+SUM(IF(AND($F$12=3,$E$12=2),1,0))+SUM(IF(AND($F$14=3,$E$14=2),1,0))+SUM(IF(AND($F$16=3,$E$16=2),1,0))+SUM(IF(AND($E$19=3,$F$19=2),1,0))+SUM(IF(AND($E$23=3,$F$23=2),1,0))</f>
        <v>1</v>
      </c>
      <c r="AJ5" s="163">
        <f>SUM(IF(AND($E$4=2,$F$4=3),1,0))+SUM(IF(AND($E$6=2,$F$6=3),1,0))+SUM(IF(AND($F$9=2,$E$9=3),1,0))+SUM(IF(AND($F$12=2,$E$12=3),1,0))+SUM(IF(AND($F$14=2,$E$14=3),1,0))+SUM(IF(AND($F$16=2,$E$16=3),1,0))+SUM(IF(AND($E$19=2,$F$19=3),1,0))+SUM(IF(AND($E$23=2,$F$23=3),1,0))</f>
        <v>1</v>
      </c>
      <c r="AK5" s="163">
        <f>SUM(IF(AND($E$4=1,$F$4=3),1,0))+SUM(IF(AND($E$6=1,$F$6=3),1,0))+SUM(IF(AND($F$9=1,$E$9=3),1,0))+SUM(IF(AND($F$12=1,$E$12=3),1,0))+SUM(IF(AND($F$14=1,$E$14=3),1,0))+SUM(IF(AND($F$16=1,$E$16=3),1,0))+SUM(IF(AND($E$19=1,$F$19=3),1,0))+SUM(IF(AND($E$23=1,$F$23=3),1,0))</f>
        <v>2</v>
      </c>
      <c r="AL5" s="163">
        <f>SUM(IF(AND($E$4=0,$F$4=3),1,0))+SUM(IF(AND($E$6=0,$F$6=3),1,0))+SUM(IF(AND($F$9=0,$E$9=3),1,0))+SUM(IF(AND($F$12=0,$E$12=3),1,0))+SUM(IF(AND($F$14=0,$E$14=3),1,0))+SUM(IF(AND($F$16=0,$E$16=3),1,0))+SUM(IF(AND($E$19=0,$F$19=3),1,0))+SUM(IF(AND($E$23=0,$F$23=3),1,0))</f>
        <v>0</v>
      </c>
    </row>
    <row r="6" spans="1:38" ht="12" x14ac:dyDescent="0.2">
      <c r="A6" s="163" t="s">
        <v>256</v>
      </c>
      <c r="B6" s="163" t="s">
        <v>170</v>
      </c>
      <c r="C6" s="162" t="s">
        <v>149</v>
      </c>
      <c r="D6" s="90" t="s">
        <v>150</v>
      </c>
      <c r="E6" s="154">
        <v>3</v>
      </c>
      <c r="F6" s="154">
        <v>0</v>
      </c>
      <c r="G6" s="91">
        <v>27</v>
      </c>
      <c r="H6" s="91">
        <v>25</v>
      </c>
      <c r="I6" s="163">
        <v>25</v>
      </c>
      <c r="J6" s="163">
        <v>22</v>
      </c>
      <c r="K6" s="91">
        <v>25</v>
      </c>
      <c r="L6" s="91">
        <v>22</v>
      </c>
      <c r="M6" s="163">
        <v>0</v>
      </c>
      <c r="N6" s="163">
        <v>0</v>
      </c>
      <c r="O6" s="91">
        <v>0</v>
      </c>
      <c r="P6" s="91">
        <v>0</v>
      </c>
      <c r="Q6" s="163">
        <f t="shared" si="0"/>
        <v>77</v>
      </c>
      <c r="R6" s="163">
        <f t="shared" si="0"/>
        <v>69</v>
      </c>
      <c r="T6" s="162">
        <v>3</v>
      </c>
      <c r="U6" s="162" t="s">
        <v>150</v>
      </c>
      <c r="V6" s="99">
        <f>AG6*3+AH6*3+AI6*2+AJ6*1+(ROUNDUP(WomenLeagueGames1stRound!V6/2,0))</f>
        <v>26</v>
      </c>
      <c r="W6" s="104">
        <f>X6+Y6+Z6</f>
        <v>8</v>
      </c>
      <c r="X6" s="104">
        <f>COUNTIF($F$5,"=3")+COUNTIF($F$6,"=3")+COUNTIF($E$10,"=3")+COUNTIF($E$13,"=3")+COUNTIF($E$15,"=3")+COUNTIF($E$16,"=3")+COUNTIF($F$20,"=3")+COUNTIF($F$22,"=3")</f>
        <v>5</v>
      </c>
      <c r="Y6" s="103">
        <f>SUM(IF($F$5&lt;$E$5,1,0))+SUM(IF($F$6&lt;$E$6,1,0))+SUM(IF($E$10&lt;$F$10,1,0))+SUM(IF($E$13&lt;$F$13,1,0))+SUM(IF($E$15&lt;$F$15,1,0))+SUM(IF($E$16&lt;$F$16,1,0))+SUM(IF($F$20&lt;$E$20,1,0))+SUM(IF($F$22&lt;$E$22,1,0))</f>
        <v>3</v>
      </c>
      <c r="Z6" s="101"/>
      <c r="AA6" s="93">
        <f>$F$5+$F$6+$E$10+$E$13+$E$15+$E$16+$F$20+$F$22</f>
        <v>17</v>
      </c>
      <c r="AB6" s="93">
        <f>$E$5+$E$6+$F$10+$F$13+$F$15+$F$16+$E$20+$E$22</f>
        <v>11</v>
      </c>
      <c r="AC6" s="163">
        <f>IF(AB6=0,"MAX",AA6/AB6)</f>
        <v>1.5454545454545454</v>
      </c>
      <c r="AD6" s="93">
        <f>$R$5+$R$6+$Q$10+$Q$13+$Q$15+$Q$16+$R$20+$R$22</f>
        <v>635</v>
      </c>
      <c r="AE6" s="93">
        <f>$Q$5+$Q$6+$R$10+$R$13+$R$15+$R$16+$Q$20+$Q$22</f>
        <v>548</v>
      </c>
      <c r="AF6" s="163">
        <f>IF(AE6=0,"MAX",AD6/AE6)</f>
        <v>1.1587591240875912</v>
      </c>
      <c r="AG6" s="163">
        <f>SUM(IF(AND($F$5=3,$E$5=0),1,0))+SUM(IF(AND($F$6=3,$E$6=0),1,0))+SUM(IF(AND($E$10=3,$F$10=0),1,0))+SUM(IF(AND($E$13=3,$F$13=0),1,0))+SUM(IF(AND($E$15=3,$F$15=0),1,0))+SUM(IF(AND($E$16=3,$F$16=0),1,0))+SUM(IF(AND($F$20=3,$E$20=0),1,0))+SUM(IF(AND($F$22=3,$E$22=0),1,0))</f>
        <v>4</v>
      </c>
      <c r="AH6" s="163">
        <f>SUM(IF(AND($F$5=3,$E$5=1),1,0))+SUM(IF(AND($F$6=3,$E$6=1),1,0))+SUM(IF(AND($E$10=3,$F$10=1),1,0))+SUM(IF(AND($E$13=3,$F$13=1),1,0))+SUM(IF(AND($E$15=3,$F$15=1),1,0))+SUM(IF(AND($E$16=3,$F$16=1),1,0))+SUM(IF(AND($F$20=3,$E$20=1),1,0))+SUM(IF(AND($F$22=3,$E$22=1),1,0))</f>
        <v>0</v>
      </c>
      <c r="AI6" s="163">
        <f>SUM(IF(AND($F$5=3,$E$5=2),1,0))+SUM(IF(AND($F$6=3,$E$6=2),1,0))+SUM(IF(AND($E$10=3,$F$10=2),1,0))+SUM(IF(AND($E$13=3,$F$13=2),1,0))+SUM(IF(AND($E$15=3,$F$15=2),1,0))+SUM(IF(AND($E$16=3,$F$16=2),1,0))+SUM(IF(AND($F$20=3,$E$20=2),1,0))+SUM(IF(AND($F$22=3,$E$22=2),1,0))</f>
        <v>1</v>
      </c>
      <c r="AJ6" s="163">
        <f>SUM(IF(AND($F$5=2,$E$5=3),1,0))+SUM(IF(AND($F$6=2,$E$6=3),1,0))+SUM(IF(AND($E$10=2,$F$10=3),1,0))+SUM(IF(AND($E$13=2,$F$13=3),1,0))+SUM(IF(AND($E$15=2,$F$15=3),1,0))+SUM(IF(AND($E$16=2,$F$16=3),1,0))+SUM(IF(AND($F$20=2,$E$20=3),1,0))+SUM(IF(AND($F$22=2,$E$22=3),1,0))</f>
        <v>1</v>
      </c>
      <c r="AK6" s="163">
        <f>SUM(IF(AND($F$5=1,$E$5=3),1,0))+SUM(IF(AND($F$6=1,$E$6=3),1,0))+SUM(IF(AND($E$10=1,$F$10=3),1,0))+SUM(IF(AND($E$13=1,$F$13=3),1,0))+SUM(IF(AND($E$15=1,$F$15=3),1,0))+SUM(IF(AND($E$16=1,$F$16=3),1,0))+SUM(IF(AND($F$20=1,$E$20=3),1,0))+SUM(IF(AND($F$22=1,$E$22=3),1,0))</f>
        <v>0</v>
      </c>
      <c r="AL6" s="163">
        <f>SUM(IF(AND($F$5=0,$E$5=3),1,0))+SUM(IF(AND($F$6=0,$E$6=3),1,0))+SUM(IF(AND($E$10=0,$F$10=3),1,0))+SUM(IF(AND($E$13=0,$F$13=3),1,0))+SUM(IF(AND($E$15=0,$F$15=3),1,0))+SUM(IF(AND($E$16=0,$F$16=3),1,0))+SUM(IF(AND($F$20=0,$E$20=3),1,0))+SUM(IF(AND($F$22=0,$E$22=3),1,0))</f>
        <v>2</v>
      </c>
    </row>
    <row r="7" spans="1:38" ht="12" x14ac:dyDescent="0.2">
      <c r="A7" s="163" t="s">
        <v>257</v>
      </c>
      <c r="B7" s="163" t="s">
        <v>170</v>
      </c>
      <c r="C7" s="90" t="s">
        <v>368</v>
      </c>
      <c r="D7" s="92" t="s">
        <v>369</v>
      </c>
      <c r="E7" s="154">
        <v>0</v>
      </c>
      <c r="F7" s="154">
        <v>3</v>
      </c>
      <c r="G7" s="91">
        <v>12</v>
      </c>
      <c r="H7" s="91">
        <v>25</v>
      </c>
      <c r="I7" s="163">
        <v>10</v>
      </c>
      <c r="J7" s="163">
        <v>25</v>
      </c>
      <c r="K7" s="91">
        <v>16</v>
      </c>
      <c r="L7" s="91">
        <v>25</v>
      </c>
      <c r="M7" s="163">
        <v>0</v>
      </c>
      <c r="N7" s="163">
        <v>0</v>
      </c>
      <c r="O7" s="91">
        <v>0</v>
      </c>
      <c r="P7" s="91">
        <v>0</v>
      </c>
      <c r="Q7" s="163">
        <f t="shared" si="0"/>
        <v>38</v>
      </c>
      <c r="R7" s="163">
        <f t="shared" si="0"/>
        <v>75</v>
      </c>
      <c r="T7" s="162">
        <v>4</v>
      </c>
      <c r="U7" s="212" t="s">
        <v>368</v>
      </c>
      <c r="V7" s="99">
        <f>AG7*3+AH7*3+AI7*2+AJ7*1+(ROUNDUP(WomenLeagueGames1stRound!V8/2,0))</f>
        <v>10</v>
      </c>
      <c r="W7" s="104">
        <f>X7+Y7+Z7</f>
        <v>8</v>
      </c>
      <c r="X7" s="104">
        <f>COUNTIF($E$5,"=3")+COUNTIF($E$7,"=3")+COUNTIF($E$9,"=3")+COUNTIF($F$11,"=3")+COUNTIF($F$15,"=3")+COUNTIF($F$17,"=3")+COUNTIF($F$19,"=3")+COUNTIF($E$21,"=3")</f>
        <v>1</v>
      </c>
      <c r="Y7" s="103">
        <f>SUM(IF($E$5&lt;$F$5,1,0))+SUM(IF($E$7&lt;$F$7,1,0))+SUM(IF($E$9&lt;$F$9,1,0))+SUM(IF($F$11&lt;$E$11,1,0))+SUM(IF($F$15&lt;$E$15,1,0))+SUM(IF($F$17&lt;$E$17,1,0))+SUM(IF($F$19&lt;$E$19,1,0))+SUM(IF($E$21&lt;$F$21,1,0))</f>
        <v>7</v>
      </c>
      <c r="Z7" s="101"/>
      <c r="AA7" s="93">
        <f>$E$5+$E$7+$E$9+$F$11+$F$15+$F$17+$F$19+$E$21</f>
        <v>6</v>
      </c>
      <c r="AB7" s="93">
        <f>$F$5+$F$7+$F$9+$E$11+$E$15+$E$17+$E$19+$F$21</f>
        <v>22</v>
      </c>
      <c r="AC7" s="163">
        <f>IF(AB7=0,"MAX",AA7/AB7)</f>
        <v>0.27272727272727271</v>
      </c>
      <c r="AD7" s="93">
        <f>$Q$5+$Q$7+$Q$9+$R$11+$R$15+$R$17+$R$19+$Q$21</f>
        <v>503</v>
      </c>
      <c r="AE7" s="93">
        <f>$R$5+$R$7+$R$9+$Q$11+$Q$15+$Q$17+$Q$19+$R$21</f>
        <v>664</v>
      </c>
      <c r="AF7" s="163">
        <f>IF(AE7=0,"MAX",AD7/AE7)</f>
        <v>0.75753012048192769</v>
      </c>
      <c r="AG7" s="163">
        <f>SUM(IF(AND($E$5=3,$F$5=0),1,0))+SUM(IF(AND($E$7=3,$F$7=0),1,0))+SUM(IF(AND($E$9=3,$F$9=0),1,0))+SUM(IF(AND($F$11=3,$E$11=0),1,0))+SUM(IF(AND($F$15=3,$E$15=0),1,0))+SUM(IF(AND($F$17=3,$E$17=0),1,0))+SUM(IF(AND($F$19=3,$E$19=0),1,0))+SUM(IF(AND($E$21=3,$F$21=0),1,0))</f>
        <v>0</v>
      </c>
      <c r="AH7" s="163">
        <f>SUM(IF(AND($E$5=3,$F$5=1),1,0))+SUM(IF(AND($E$7=3,$F$7=1),1,0))+SUM(IF(AND($E$9=3,$F$9=1),1,0))+SUM(IF(AND($F$11=3,$E$11=1),1,0))+SUM(IF(AND($F$15=3,$E$15=1),1,0))+SUM(IF(AND($F$17=3,$E$17=1),1,0))+SUM(IF(AND($F$19=3,$E$19=1),1,0))+SUM(IF(AND($E$21=3,$F$21=1),1,0))</f>
        <v>1</v>
      </c>
      <c r="AI7" s="163">
        <f>SUM(IF(AND($E$5=3,$F$5=2),1,0))+SUM(IF(AND($E$7=3,$F$7=2),1,0))+SUM(IF(AND($E$9=3,$F$9=2),1,0))+SUM(IF(AND($F$11=3,$E$11=2),1,0))+SUM(IF(AND($F$15=3,$E$15=2),1,0))+SUM(IF(AND($F$17=3,$E$17=2),1,0))+SUM(IF(AND($F$19=3,$E$19=2),1,0))+SUM(IF(AND($E$21=3,$F$21=2),1,0))</f>
        <v>0</v>
      </c>
      <c r="AJ7" s="163">
        <f>SUM(IF(AND($E$5=2,$F$5=3),1,0))+SUM(IF(AND($E$7=2,$F$7=3),1,0))+SUM(IF(AND($E$9=2,$F$9=3),1,0))+SUM(IF(AND($F$11=2,$E$11=3),1,0))+SUM(IF(AND($F$15=2,$E$15=3),1,0))+SUM(IF(AND($F$17=2,$E$17=3),1,0))+SUM(IF(AND($F$19=2,$E$19=3),1,0))+SUM(IF(AND($E$21=2,$F$21=3),1,0))</f>
        <v>1</v>
      </c>
      <c r="AK7" s="163">
        <f>SUM(IF(AND($E$5=1,$F$5=3),1,0))+SUM(IF(AND($E$7=1,$F$7=3),1,0))+SUM(IF(AND($E$9=1,$F$9=3),1,0))+SUM(IF(AND($F$11=1,$E$11=3),1,0))+SUM(IF(AND($F$15=1,$E$15=3),1,0))+SUM(IF(AND($F$17=1,$E$17=3),1,0))+SUM(IF(AND($F$19=1,$E$19=3),1,0))+SUM(IF(AND($E$21=1,$F$21=3),1,0))</f>
        <v>1</v>
      </c>
      <c r="AL7" s="163">
        <f>SUM(IF(AND($E$5=10,$F$5=3),1,0))+SUM(IF(AND($E$7=0,$F$7=3),1,0))+SUM(IF(AND($E$9=0,$F$9=3),1,0))+SUM(IF(AND($F$11=0,$E$11=3),1,0))+SUM(IF(AND($F$15=0,$E$15=3),1,0))+SUM(IF(AND($F$17=0,$E$17=3),1,0))+SUM(IF(AND($F$19=0,$E$19=3),1,0))+SUM(IF(AND($E$21=0,$F$21=3),1,0))</f>
        <v>4</v>
      </c>
    </row>
    <row r="8" spans="1:38" ht="12" x14ac:dyDescent="0.2">
      <c r="A8" s="163" t="s">
        <v>258</v>
      </c>
      <c r="B8" s="163" t="s">
        <v>170</v>
      </c>
      <c r="C8" s="90" t="s">
        <v>369</v>
      </c>
      <c r="D8" s="90" t="s">
        <v>206</v>
      </c>
      <c r="E8" s="154">
        <v>3</v>
      </c>
      <c r="F8" s="154">
        <v>0</v>
      </c>
      <c r="G8" s="91">
        <v>25</v>
      </c>
      <c r="H8" s="91">
        <v>21</v>
      </c>
      <c r="I8" s="163">
        <v>25</v>
      </c>
      <c r="J8" s="163">
        <v>16</v>
      </c>
      <c r="K8" s="91">
        <v>25</v>
      </c>
      <c r="L8" s="91">
        <v>16</v>
      </c>
      <c r="M8" s="163">
        <v>0</v>
      </c>
      <c r="N8" s="163">
        <v>0</v>
      </c>
      <c r="O8" s="91">
        <v>0</v>
      </c>
      <c r="P8" s="91">
        <v>0</v>
      </c>
      <c r="Q8" s="163">
        <f t="shared" si="0"/>
        <v>75</v>
      </c>
      <c r="R8" s="163">
        <f t="shared" si="0"/>
        <v>53</v>
      </c>
      <c r="T8" s="162">
        <v>5</v>
      </c>
      <c r="U8" s="193" t="s">
        <v>206</v>
      </c>
      <c r="V8" s="99">
        <f>AG8*3+AH8*3+AI8*2+AJ8*1+(ROUNDUP(WomenLeagueGames1stRound!V7/2,0))</f>
        <v>10</v>
      </c>
      <c r="W8" s="104">
        <f>X8+Y8+Z8</f>
        <v>8</v>
      </c>
      <c r="X8" s="104">
        <f>COUNTIF($F$4,"=3")+COUNTIF($F$8,"=3")+COUNTIF($E$11,"=3")+COUNTIF($F$13,"=3")+COUNTIF($E$14,"=3")+COUNTIF($E$18,"=3")+COUNTIF($F$21,"=3")+COUNTIF($E$22,"=3")</f>
        <v>1</v>
      </c>
      <c r="Y8" s="103">
        <f>SUM(IF($F$4&lt;$E$4,1,0))+SUM(IF($F$8&lt;$E$8,1,0))+SUM(IF($E$11&lt;$F$11,1,0))+SUM(IF($F$13&lt;$E$13,1,0))+SUM(IF($E$14&lt;$F$14,1,0))+SUM(IF($E$18&lt;$F$18,1,0))+SUM(IF($F$21&lt;$E$21,1,0))+SUM(IF($E$22&lt;$F$22,1,0))</f>
        <v>7</v>
      </c>
      <c r="Z8" s="101"/>
      <c r="AA8" s="93">
        <f>$F$4+$F$8+$E$11+$F$13+$E$14+$E$18+$F$21+$E$22</f>
        <v>5</v>
      </c>
      <c r="AB8" s="93">
        <f>$E$4+$E$8+$F$11+$E$13+$F$14+$F$18+$E$21+$F$22</f>
        <v>21</v>
      </c>
      <c r="AC8" s="163">
        <f>IF(AB8=0,"MAX",AA8/AB8)</f>
        <v>0.23809523809523808</v>
      </c>
      <c r="AD8" s="93">
        <f>$R$4+$R$8+$Q$11+$R$13+$Q$14+$Q$18+$R$21+$Q$22</f>
        <v>470</v>
      </c>
      <c r="AE8" s="93">
        <f>$Q$4+$Q$8+$R$11+$Q$13+$R$14+$R$18+$Q$21+$R$22</f>
        <v>628</v>
      </c>
      <c r="AF8" s="163">
        <f>IF(AE8=0,"MAX",AD8/AE8)</f>
        <v>0.74840764331210186</v>
      </c>
      <c r="AG8" s="163">
        <f>SUM(IF(AND($F$4=3,$E$4=0),1,0))+SUM(IF(AND($F$8=3,$E$8=0),1,0))+SUM(IF(AND($E$11=3,$F$11=0),1,0))+SUM(IF(AND($F$13=3,$E$13=0),1,0))+SUM(IF(AND($E$14=3,$F$14=0),1,0))+SUM(IF(AND($E$18=3,$F$18=0),1,0))+SUM(IF(AND($F$21=3,$E$21=0),1,0))+SUM(IF(AND($E$22=3,$F$22=0),1,0))</f>
        <v>1</v>
      </c>
      <c r="AH8" s="163">
        <f>SUM(IF(AND($F$4=3,$E$4=1),1,0))+SUM(IF(AND($F$8=3,$E$8=1),1,0))+SUM(IF(AND($E$11=3,$F$11=1),1,0))+SUM(IF(AND($F$13=3,$E$13=1),1,0))+SUM(IF(AND($E$14=3,$F$14=1),1,0))+SUM(IF(AND($E$18=3,$F$18=1),1,0))+SUM(IF(AND($F$21=3,$E$21=1),1,0))+SUM(IF(AND($E$22=3,$F$22=1),1,0))</f>
        <v>0</v>
      </c>
      <c r="AI8" s="163">
        <f>SUM(IF(AND($F$4=3,$E$4=2),1,0))+SUM(IF(AND($F$8=3,$E$8=2),1,0))+SUM(IF(AND($E$11=3,$F$11=2),1,0))+SUM(IF(AND($F$13=3,$E$13=2),1,0))+SUM(IF(AND($E$14=3,$F$14=2),1,0))+SUM(IF(AND($E$18=3,$F$18=2),1,0))+SUM(IF(AND($F$21=3,$E$21=2),1,0))+SUM(IF(AND($E$22=3,$F$22=2),1,0))</f>
        <v>0</v>
      </c>
      <c r="AJ8" s="163">
        <f>SUM(IF(AND($F$4=2,$E$4=3),1,0))+SUM(IF(AND($F$8=2,$E$8=3),1,0))+SUM(IF(AND($E$11=2,$F$11=3),1,0))+SUM(IF(AND($F$13=2,$E$13=3),1,0))+SUM(IF(AND($E$14=2,$F$14=3),1,0))+SUM(IF(AND($E$18=2,$F$18=3),1,0))+SUM(IF(AND($F$21=2,$E$21=3),1,0))+SUM(IF(AND($E$22=2,$F$22=3),1,0))</f>
        <v>0</v>
      </c>
      <c r="AK8" s="163">
        <f>SUM(IF(AND($F$4=1,$E$4=3),1,0))+SUM(IF(AND($F$8=1,$E$8=3),1,0))+SUM(IF(AND($E$11=1,$F$11=3),1,0))+SUM(IF(AND($F$13=1,$E$13=3),1,0))+SUM(IF(AND($E$14=1,$F$14=3),1,0))+SUM(IF(AND($E$18=1,$F$18=3),1,0))+SUM(IF(AND($F$21=1,$E$21=3),1,0))+SUM(IF(AND($E$22=1,$F$22=3),1,0))</f>
        <v>2</v>
      </c>
      <c r="AL8" s="163">
        <f>SUM(IF(AND($F$4=0,$E$4=3),1,0))+SUM(IF(AND($F$8=0,$E$8=3),1,0))+SUM(IF(AND($E$11=0,$F$11=3),1,0))+SUM(IF(AND($F$13=0,$E$13=3),1,0))+SUM(IF(AND($E$14=0,$F$14=3),1,0))+SUM(IF(AND($E$18=0,$F$18=3),1,0))+SUM(IF(AND($F$21=0,$E$21=3),1,0))+SUM(IF(AND($E$22=0,$F$22=3),1,0))</f>
        <v>5</v>
      </c>
    </row>
    <row r="9" spans="1:38" ht="12" x14ac:dyDescent="0.2">
      <c r="A9" s="163" t="s">
        <v>259</v>
      </c>
      <c r="B9" s="163" t="s">
        <v>170</v>
      </c>
      <c r="C9" s="90" t="s">
        <v>368</v>
      </c>
      <c r="D9" s="92" t="s">
        <v>149</v>
      </c>
      <c r="E9" s="154">
        <v>1</v>
      </c>
      <c r="F9" s="154">
        <v>3</v>
      </c>
      <c r="G9" s="91">
        <v>25</v>
      </c>
      <c r="H9" s="91">
        <v>25</v>
      </c>
      <c r="I9" s="163">
        <v>25</v>
      </c>
      <c r="J9" s="163">
        <v>21</v>
      </c>
      <c r="K9" s="91">
        <v>22</v>
      </c>
      <c r="L9" s="91">
        <v>25</v>
      </c>
      <c r="M9" s="163">
        <v>19</v>
      </c>
      <c r="N9" s="163">
        <v>25</v>
      </c>
      <c r="O9" s="91">
        <v>0</v>
      </c>
      <c r="P9" s="91">
        <v>0</v>
      </c>
      <c r="Q9" s="163">
        <f t="shared" si="0"/>
        <v>91</v>
      </c>
      <c r="R9" s="163">
        <f t="shared" si="0"/>
        <v>96</v>
      </c>
    </row>
    <row r="10" spans="1:38" ht="12" x14ac:dyDescent="0.2">
      <c r="A10" s="163" t="s">
        <v>260</v>
      </c>
      <c r="B10" s="163" t="s">
        <v>170</v>
      </c>
      <c r="C10" s="162" t="s">
        <v>150</v>
      </c>
      <c r="D10" s="90" t="s">
        <v>369</v>
      </c>
      <c r="E10" s="154">
        <v>2</v>
      </c>
      <c r="F10" s="154">
        <v>3</v>
      </c>
      <c r="G10" s="91">
        <v>23</v>
      </c>
      <c r="H10" s="91">
        <v>25</v>
      </c>
      <c r="I10" s="163">
        <v>25</v>
      </c>
      <c r="J10" s="163">
        <v>20</v>
      </c>
      <c r="K10" s="91">
        <v>25</v>
      </c>
      <c r="L10" s="91">
        <v>23</v>
      </c>
      <c r="M10" s="163">
        <v>19</v>
      </c>
      <c r="N10" s="163">
        <v>25</v>
      </c>
      <c r="O10" s="91">
        <v>12</v>
      </c>
      <c r="P10" s="91">
        <v>15</v>
      </c>
      <c r="Q10" s="163">
        <f t="shared" si="0"/>
        <v>104</v>
      </c>
      <c r="R10" s="163">
        <f t="shared" si="0"/>
        <v>108</v>
      </c>
      <c r="U10" s="188" t="s">
        <v>360</v>
      </c>
    </row>
    <row r="11" spans="1:38" ht="12" x14ac:dyDescent="0.2">
      <c r="A11" s="163" t="s">
        <v>261</v>
      </c>
      <c r="B11" s="163" t="s">
        <v>170</v>
      </c>
      <c r="C11" s="90" t="s">
        <v>206</v>
      </c>
      <c r="D11" s="90" t="s">
        <v>368</v>
      </c>
      <c r="E11" s="154">
        <v>1</v>
      </c>
      <c r="F11" s="154">
        <v>3</v>
      </c>
      <c r="G11" s="91">
        <v>25</v>
      </c>
      <c r="H11" s="91">
        <v>20</v>
      </c>
      <c r="I11" s="163">
        <v>16</v>
      </c>
      <c r="J11" s="163">
        <v>25</v>
      </c>
      <c r="K11" s="91">
        <v>19</v>
      </c>
      <c r="L11" s="91">
        <v>25</v>
      </c>
      <c r="M11" s="163">
        <v>14</v>
      </c>
      <c r="N11" s="163">
        <v>25</v>
      </c>
      <c r="O11" s="91">
        <v>0</v>
      </c>
      <c r="P11" s="91">
        <v>0</v>
      </c>
      <c r="Q11" s="163">
        <f t="shared" si="0"/>
        <v>74</v>
      </c>
      <c r="R11" s="163">
        <f t="shared" si="0"/>
        <v>95</v>
      </c>
      <c r="U11" s="194" t="s">
        <v>369</v>
      </c>
    </row>
    <row r="12" spans="1:38" ht="12" x14ac:dyDescent="0.2">
      <c r="A12" s="163" t="s">
        <v>262</v>
      </c>
      <c r="B12" s="163" t="s">
        <v>170</v>
      </c>
      <c r="C12" s="162" t="s">
        <v>369</v>
      </c>
      <c r="D12" s="90" t="s">
        <v>149</v>
      </c>
      <c r="E12" s="154">
        <v>3</v>
      </c>
      <c r="F12" s="154">
        <v>1</v>
      </c>
      <c r="G12" s="91">
        <v>25</v>
      </c>
      <c r="H12" s="91">
        <v>12</v>
      </c>
      <c r="I12" s="163">
        <v>23</v>
      </c>
      <c r="J12" s="163">
        <v>25</v>
      </c>
      <c r="K12" s="91">
        <v>25</v>
      </c>
      <c r="L12" s="91">
        <v>23</v>
      </c>
      <c r="M12" s="163">
        <v>25</v>
      </c>
      <c r="N12" s="163">
        <v>14</v>
      </c>
      <c r="O12" s="91">
        <v>0</v>
      </c>
      <c r="P12" s="91">
        <v>0</v>
      </c>
      <c r="Q12" s="163">
        <f t="shared" si="0"/>
        <v>98</v>
      </c>
      <c r="R12" s="163">
        <f t="shared" si="0"/>
        <v>74</v>
      </c>
    </row>
    <row r="13" spans="1:38" ht="12" x14ac:dyDescent="0.2">
      <c r="A13" s="163" t="s">
        <v>263</v>
      </c>
      <c r="B13" s="163" t="s">
        <v>170</v>
      </c>
      <c r="C13" s="90" t="s">
        <v>150</v>
      </c>
      <c r="D13" s="90" t="s">
        <v>206</v>
      </c>
      <c r="E13" s="154">
        <v>3</v>
      </c>
      <c r="F13" s="154">
        <v>0</v>
      </c>
      <c r="G13" s="91">
        <v>26</v>
      </c>
      <c r="H13" s="91">
        <v>24</v>
      </c>
      <c r="I13" s="163">
        <v>25</v>
      </c>
      <c r="J13" s="163">
        <v>12</v>
      </c>
      <c r="K13" s="91">
        <v>25</v>
      </c>
      <c r="L13" s="91">
        <v>16</v>
      </c>
      <c r="M13" s="163">
        <v>0</v>
      </c>
      <c r="N13" s="163">
        <v>0</v>
      </c>
      <c r="O13" s="91">
        <v>0</v>
      </c>
      <c r="P13" s="91">
        <v>0</v>
      </c>
      <c r="Q13" s="163">
        <f t="shared" si="0"/>
        <v>76</v>
      </c>
      <c r="R13" s="163">
        <f t="shared" si="0"/>
        <v>52</v>
      </c>
    </row>
    <row r="14" spans="1:38" ht="12" x14ac:dyDescent="0.2">
      <c r="A14" s="163" t="s">
        <v>264</v>
      </c>
      <c r="B14" s="163" t="s">
        <v>265</v>
      </c>
      <c r="C14" s="90" t="s">
        <v>206</v>
      </c>
      <c r="D14" s="90" t="s">
        <v>149</v>
      </c>
      <c r="E14" s="154">
        <v>0</v>
      </c>
      <c r="F14" s="154">
        <v>3</v>
      </c>
      <c r="G14" s="91">
        <v>23</v>
      </c>
      <c r="H14" s="91">
        <v>25</v>
      </c>
      <c r="I14" s="163">
        <v>8</v>
      </c>
      <c r="J14" s="163">
        <v>25</v>
      </c>
      <c r="K14" s="91">
        <v>5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0"/>
        <v>36</v>
      </c>
      <c r="R14" s="163">
        <f t="shared" si="0"/>
        <v>75</v>
      </c>
    </row>
    <row r="15" spans="1:38" ht="12" x14ac:dyDescent="0.2">
      <c r="A15" s="163" t="s">
        <v>266</v>
      </c>
      <c r="B15" s="163" t="s">
        <v>265</v>
      </c>
      <c r="C15" s="90" t="s">
        <v>150</v>
      </c>
      <c r="D15" s="92" t="s">
        <v>368</v>
      </c>
      <c r="E15" s="154">
        <v>3</v>
      </c>
      <c r="F15" s="154">
        <v>0</v>
      </c>
      <c r="G15" s="91">
        <v>25</v>
      </c>
      <c r="H15" s="91">
        <v>20</v>
      </c>
      <c r="I15" s="163">
        <v>25</v>
      </c>
      <c r="J15" s="163">
        <v>10</v>
      </c>
      <c r="K15" s="91">
        <v>25</v>
      </c>
      <c r="L15" s="91">
        <v>15</v>
      </c>
      <c r="M15" s="163">
        <v>0</v>
      </c>
      <c r="N15" s="163">
        <v>0</v>
      </c>
      <c r="O15" s="91">
        <v>0</v>
      </c>
      <c r="P15" s="91">
        <v>0</v>
      </c>
      <c r="Q15" s="163">
        <f t="shared" si="0"/>
        <v>75</v>
      </c>
      <c r="R15" s="163">
        <f t="shared" si="0"/>
        <v>45</v>
      </c>
    </row>
    <row r="16" spans="1:38" ht="12" x14ac:dyDescent="0.2">
      <c r="A16" s="163" t="s">
        <v>267</v>
      </c>
      <c r="B16" s="163" t="s">
        <v>265</v>
      </c>
      <c r="C16" s="162" t="s">
        <v>150</v>
      </c>
      <c r="D16" s="90" t="s">
        <v>149</v>
      </c>
      <c r="E16" s="154">
        <v>3</v>
      </c>
      <c r="F16" s="154">
        <v>2</v>
      </c>
      <c r="G16" s="91">
        <v>26</v>
      </c>
      <c r="H16" s="91">
        <v>24</v>
      </c>
      <c r="I16" s="163">
        <v>17</v>
      </c>
      <c r="J16" s="163">
        <v>25</v>
      </c>
      <c r="K16" s="91">
        <v>16</v>
      </c>
      <c r="L16" s="91">
        <v>25</v>
      </c>
      <c r="M16" s="163">
        <v>25</v>
      </c>
      <c r="N16" s="163">
        <v>23</v>
      </c>
      <c r="O16" s="91">
        <v>16</v>
      </c>
      <c r="P16" s="91">
        <v>14</v>
      </c>
      <c r="Q16" s="163">
        <f t="shared" si="0"/>
        <v>100</v>
      </c>
      <c r="R16" s="163">
        <f t="shared" si="0"/>
        <v>111</v>
      </c>
    </row>
    <row r="17" spans="1:18" ht="12" x14ac:dyDescent="0.2">
      <c r="A17" s="163" t="s">
        <v>268</v>
      </c>
      <c r="B17" s="163" t="s">
        <v>265</v>
      </c>
      <c r="C17" s="90" t="s">
        <v>369</v>
      </c>
      <c r="D17" s="92" t="s">
        <v>368</v>
      </c>
      <c r="E17" s="154">
        <v>3</v>
      </c>
      <c r="F17" s="154">
        <v>0</v>
      </c>
      <c r="G17" s="91">
        <v>25</v>
      </c>
      <c r="H17" s="91">
        <v>12</v>
      </c>
      <c r="I17" s="163">
        <v>25</v>
      </c>
      <c r="J17" s="163">
        <v>20</v>
      </c>
      <c r="K17" s="91">
        <v>25</v>
      </c>
      <c r="L17" s="91">
        <v>14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0"/>
        <v>75</v>
      </c>
      <c r="R17" s="163">
        <f t="shared" si="0"/>
        <v>46</v>
      </c>
    </row>
    <row r="18" spans="1:18" ht="12" x14ac:dyDescent="0.2">
      <c r="A18" s="163" t="s">
        <v>269</v>
      </c>
      <c r="B18" s="163" t="s">
        <v>265</v>
      </c>
      <c r="C18" s="90" t="s">
        <v>206</v>
      </c>
      <c r="D18" s="92" t="s">
        <v>369</v>
      </c>
      <c r="E18" s="154">
        <v>0</v>
      </c>
      <c r="F18" s="154">
        <v>3</v>
      </c>
      <c r="G18" s="91">
        <v>25</v>
      </c>
      <c r="H18" s="91">
        <v>27</v>
      </c>
      <c r="I18" s="163">
        <v>21</v>
      </c>
      <c r="J18" s="163">
        <v>25</v>
      </c>
      <c r="K18" s="91">
        <v>19</v>
      </c>
      <c r="L18" s="91">
        <v>25</v>
      </c>
      <c r="M18" s="163">
        <v>0</v>
      </c>
      <c r="N18" s="163">
        <v>0</v>
      </c>
      <c r="O18" s="91">
        <v>0</v>
      </c>
      <c r="P18" s="91">
        <v>0</v>
      </c>
      <c r="Q18" s="163">
        <f t="shared" si="0"/>
        <v>65</v>
      </c>
      <c r="R18" s="163">
        <f t="shared" si="0"/>
        <v>77</v>
      </c>
    </row>
    <row r="19" spans="1:18" ht="12" x14ac:dyDescent="0.2">
      <c r="A19" s="163" t="s">
        <v>270</v>
      </c>
      <c r="B19" s="163" t="s">
        <v>265</v>
      </c>
      <c r="C19" s="90" t="s">
        <v>149</v>
      </c>
      <c r="D19" s="92" t="s">
        <v>368</v>
      </c>
      <c r="E19" s="154">
        <v>3</v>
      </c>
      <c r="F19" s="154">
        <v>2</v>
      </c>
      <c r="G19" s="91">
        <v>28</v>
      </c>
      <c r="H19" s="91">
        <v>30</v>
      </c>
      <c r="I19" s="163">
        <v>24</v>
      </c>
      <c r="J19" s="163">
        <v>26</v>
      </c>
      <c r="K19" s="91">
        <v>25</v>
      </c>
      <c r="L19" s="91">
        <v>21</v>
      </c>
      <c r="M19" s="163">
        <v>25</v>
      </c>
      <c r="N19" s="163">
        <v>7</v>
      </c>
      <c r="O19" s="91">
        <v>15</v>
      </c>
      <c r="P19" s="91">
        <v>5</v>
      </c>
      <c r="Q19" s="163">
        <f t="shared" si="0"/>
        <v>117</v>
      </c>
      <c r="R19" s="163">
        <f t="shared" si="0"/>
        <v>89</v>
      </c>
    </row>
    <row r="20" spans="1:18" ht="12" x14ac:dyDescent="0.2">
      <c r="A20" s="163" t="s">
        <v>271</v>
      </c>
      <c r="B20" s="163" t="s">
        <v>265</v>
      </c>
      <c r="C20" s="162" t="s">
        <v>369</v>
      </c>
      <c r="D20" s="90" t="s">
        <v>150</v>
      </c>
      <c r="E20" s="154">
        <v>3</v>
      </c>
      <c r="F20" s="154">
        <v>0</v>
      </c>
      <c r="G20" s="91">
        <v>25</v>
      </c>
      <c r="H20" s="91">
        <v>21</v>
      </c>
      <c r="I20" s="163">
        <v>25</v>
      </c>
      <c r="J20" s="163">
        <v>20</v>
      </c>
      <c r="K20" s="91">
        <v>25</v>
      </c>
      <c r="L20" s="91">
        <v>20</v>
      </c>
      <c r="M20" s="163">
        <v>0</v>
      </c>
      <c r="N20" s="163">
        <v>0</v>
      </c>
      <c r="O20" s="91">
        <v>0</v>
      </c>
      <c r="P20" s="91">
        <v>0</v>
      </c>
      <c r="Q20" s="163">
        <f t="shared" si="0"/>
        <v>75</v>
      </c>
      <c r="R20" s="163">
        <f t="shared" si="0"/>
        <v>61</v>
      </c>
    </row>
    <row r="21" spans="1:18" ht="12" x14ac:dyDescent="0.2">
      <c r="A21" s="163" t="s">
        <v>272</v>
      </c>
      <c r="B21" s="163" t="s">
        <v>265</v>
      </c>
      <c r="C21" s="90" t="s">
        <v>368</v>
      </c>
      <c r="D21" s="90" t="s">
        <v>206</v>
      </c>
      <c r="E21" s="154">
        <v>0</v>
      </c>
      <c r="F21" s="154">
        <v>3</v>
      </c>
      <c r="G21" s="91">
        <v>20</v>
      </c>
      <c r="H21" s="91">
        <v>25</v>
      </c>
      <c r="I21" s="163">
        <v>12</v>
      </c>
      <c r="J21" s="163">
        <v>25</v>
      </c>
      <c r="K21" s="91">
        <v>25</v>
      </c>
      <c r="L21" s="91">
        <v>27</v>
      </c>
      <c r="M21" s="163">
        <v>0</v>
      </c>
      <c r="N21" s="163">
        <v>0</v>
      </c>
      <c r="O21" s="91">
        <v>0</v>
      </c>
      <c r="P21" s="91">
        <v>0</v>
      </c>
      <c r="Q21" s="163">
        <f t="shared" si="0"/>
        <v>57</v>
      </c>
      <c r="R21" s="163">
        <f t="shared" si="0"/>
        <v>77</v>
      </c>
    </row>
    <row r="22" spans="1:18" ht="12" x14ac:dyDescent="0.2">
      <c r="A22" s="163" t="s">
        <v>273</v>
      </c>
      <c r="B22" s="163" t="s">
        <v>265</v>
      </c>
      <c r="C22" s="162" t="s">
        <v>206</v>
      </c>
      <c r="D22" s="90" t="s">
        <v>150</v>
      </c>
      <c r="E22" s="154">
        <v>0</v>
      </c>
      <c r="F22" s="154">
        <v>3</v>
      </c>
      <c r="G22" s="91">
        <v>14</v>
      </c>
      <c r="H22" s="91">
        <v>25</v>
      </c>
      <c r="I22" s="163">
        <v>12</v>
      </c>
      <c r="J22" s="163">
        <v>25</v>
      </c>
      <c r="K22" s="91">
        <v>12</v>
      </c>
      <c r="L22" s="91">
        <v>25</v>
      </c>
      <c r="M22" s="163">
        <v>0</v>
      </c>
      <c r="N22" s="163">
        <v>0</v>
      </c>
      <c r="O22" s="91">
        <v>0</v>
      </c>
      <c r="P22" s="91">
        <v>0</v>
      </c>
      <c r="Q22" s="163">
        <f>G22+I22+K22+M22+O22</f>
        <v>38</v>
      </c>
      <c r="R22" s="163">
        <f>H22+J22+L22+N22+P22</f>
        <v>75</v>
      </c>
    </row>
    <row r="23" spans="1:18" ht="12" x14ac:dyDescent="0.2">
      <c r="A23" s="163" t="s">
        <v>274</v>
      </c>
      <c r="B23" s="163" t="s">
        <v>265</v>
      </c>
      <c r="C23" s="90" t="s">
        <v>149</v>
      </c>
      <c r="D23" s="90" t="s">
        <v>369</v>
      </c>
      <c r="E23" s="154">
        <v>1</v>
      </c>
      <c r="F23" s="154">
        <v>3</v>
      </c>
      <c r="G23" s="91">
        <v>25</v>
      </c>
      <c r="H23" s="91">
        <v>16</v>
      </c>
      <c r="I23" s="163">
        <v>19</v>
      </c>
      <c r="J23" s="163">
        <v>25</v>
      </c>
      <c r="K23" s="91">
        <v>19</v>
      </c>
      <c r="L23" s="91">
        <v>25</v>
      </c>
      <c r="M23" s="163">
        <v>23</v>
      </c>
      <c r="N23" s="163">
        <v>25</v>
      </c>
      <c r="O23" s="91">
        <v>0</v>
      </c>
      <c r="P23" s="91">
        <v>0</v>
      </c>
      <c r="Q23" s="163">
        <f>G23+I23+K23+M23+O23</f>
        <v>86</v>
      </c>
      <c r="R23" s="163">
        <f>H23+J23+L23+N23+P23</f>
        <v>91</v>
      </c>
    </row>
  </sheetData>
  <sheetProtection selectLockedCells="1" selectUnlockedCells="1"/>
  <sortState ref="U4:AL8">
    <sortCondition descending="1" ref="V4:V8"/>
    <sortCondition descending="1" ref="AC4:AC8"/>
    <sortCondition descending="1" ref="AF4:AF8"/>
  </sortState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GridLines="0" topLeftCell="D1" zoomScaleNormal="100" workbookViewId="0">
      <selection activeCell="K22" sqref="K22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4" width="37.28515625" style="66" bestFit="1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8.42578125" style="17" bestFit="1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95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63" t="s">
        <v>275</v>
      </c>
      <c r="B4" s="163" t="s">
        <v>170</v>
      </c>
      <c r="C4" s="162" t="s">
        <v>205</v>
      </c>
      <c r="D4" s="90" t="s">
        <v>153</v>
      </c>
      <c r="E4" s="154">
        <v>3</v>
      </c>
      <c r="F4" s="154">
        <v>0</v>
      </c>
      <c r="G4" s="91">
        <v>25</v>
      </c>
      <c r="H4" s="91">
        <v>15</v>
      </c>
      <c r="I4" s="163">
        <v>25</v>
      </c>
      <c r="J4" s="163">
        <v>17</v>
      </c>
      <c r="K4" s="91">
        <v>25</v>
      </c>
      <c r="L4" s="91">
        <v>20</v>
      </c>
      <c r="M4" s="163">
        <v>0</v>
      </c>
      <c r="N4" s="163">
        <v>0</v>
      </c>
      <c r="O4" s="91">
        <v>0</v>
      </c>
      <c r="P4" s="91">
        <v>0</v>
      </c>
      <c r="Q4" s="163">
        <f>G4+I4+K4+M4+O4</f>
        <v>75</v>
      </c>
      <c r="R4" s="163">
        <f>H4+J4+L4+N4+P4</f>
        <v>52</v>
      </c>
      <c r="T4" s="162">
        <v>1</v>
      </c>
      <c r="U4" s="196" t="s">
        <v>205</v>
      </c>
      <c r="V4" s="99">
        <f>AG4*3+AH4*3+AI4*2+AJ4*1+(ROUNDUP(WomenLeagueGames1stRound!V10/2,0))</f>
        <v>28</v>
      </c>
      <c r="W4" s="104">
        <f>X4+Y4+Z4</f>
        <v>8</v>
      </c>
      <c r="X4" s="104">
        <f>COUNTIF($E$4,"=3")+COUNTIF($E$6,"=3")+COUNTIF($F$9,"=3")+COUNTIF($F$12,"=3")+COUNTIF($F$14,"=3")+COUNTIF($F$16,"=3")+COUNTIF($E$19,"=3")+COUNTIF($E$23,"=3")</f>
        <v>8</v>
      </c>
      <c r="Y4" s="103">
        <f>SUM(IF($E$4&lt;$F$4,1,0))+SUM(IF($E$6&lt;$F$6,1,0))+SUM(IF($F$9&lt;$E$9,1,0))+SUM(IF($F$12&lt;$E$12,1,0))+SUM(IF($F$14&lt;$E$14,1,0))+SUM(IF($F$16&lt;$E$16,1,0))+SUM(IF($E$19&lt;$F$19,1,0))+SUM(IF($E$23&lt;$F$23,1,0))</f>
        <v>0</v>
      </c>
      <c r="Z4" s="101"/>
      <c r="AA4" s="93">
        <f>$E$4+$E$6+$F$9+$F$12+$F$14+$F$16+$E$19+$E$23</f>
        <v>24</v>
      </c>
      <c r="AB4" s="93">
        <f>$F$4+$F$6+$E$9+$E$12+$E$14+$E$16+$F$19+$F$23</f>
        <v>2</v>
      </c>
      <c r="AC4" s="163">
        <f>IF(AB4=0,"MAX",AA4/AB4)</f>
        <v>12</v>
      </c>
      <c r="AD4" s="93">
        <f>$Q$4+$Q$6+$R$9+$R$12+$R$14+$R$16+$Q$19+$Q$23</f>
        <v>633</v>
      </c>
      <c r="AE4" s="93">
        <f>$R$4+$R$6+$Q$9+$Q$12+$Q$14+$Q$16+$R$19+$R$23</f>
        <v>448</v>
      </c>
      <c r="AF4" s="163">
        <f>IF(AE4=0,"MAX",AD4/AE4)</f>
        <v>1.4129464285714286</v>
      </c>
      <c r="AG4" s="163">
        <f>SUM(IF(AND($E$4=3,$F$4=0),1,0))+SUM(IF(AND($E$6=3,$F$6=0),1,0))+SUM(IF(AND($F$9=3,$E$9=0),1,0))+SUM(IF(AND($F$12=3,$E$12=0),1,0))+SUM(IF(AND($F$14=3,$E$14=0),1,0))+SUM(IF(AND($F$16=3,$E$16=0),1,0))+SUM(IF(AND($E$19=3,$F$19=0),1,0))+SUM(IF(AND($E$23=3,$F$23=0),1,0))</f>
        <v>7</v>
      </c>
      <c r="AH4" s="163">
        <f>SUM(IF(AND($E$4=3,$F$4=1),1,0))+SUM(IF(AND($E$6=3,$F$6=1),1,0))+SUM(IF(AND($F$9=3,$E$9=1),1,0))+SUM(IF(AND($F$12=3,$E$12=1),1,0))+SUM(IF(AND($F$14=3,$E$14=1),1,0))+SUM(IF(AND($F$16=3,$E$16=1),1,0))+SUM(IF(AND($E$19=3,$F$19=1),1,0))+SUM(IF(AND($E$23=3,$F$23=1),1,0))</f>
        <v>0</v>
      </c>
      <c r="AI4" s="163">
        <f>SUM(IF(AND($E$4=3,$F$4=2),1,0))+SUM(IF(AND($E$6=3,$F$6=2),1,0))+SUM(IF(AND($F$9=3,$E$9=2),1,0))+SUM(IF(AND($F$12=3,$E$12=2),1,0))+SUM(IF(AND($F$14=3,$E$14=2),1,0))+SUM(IF(AND($F$16=3,$E$16=2),1,0))+SUM(IF(AND($E$19=3,$F$19=2),1,0))+SUM(IF(AND($E$23=3,$F$23=2),1,0))</f>
        <v>1</v>
      </c>
      <c r="AJ4" s="163">
        <f>SUM(IF(AND($E$4=2,$F$4=3),1,0))+SUM(IF(AND($E$6=2,$F$6=3),1,0))+SUM(IF(AND($F$9=2,$E$9=3),1,0))+SUM(IF(AND($F$12=2,$E$12=3),1,0))+SUM(IF(AND($F$14=2,$E$14=3),1,0))+SUM(IF(AND($F$16=2,$E$16=3),1,0))+SUM(IF(AND($E$19=2,$F$19=3),1,0))+SUM(IF(AND($E$23=2,$F$23=3),1,0))</f>
        <v>0</v>
      </c>
      <c r="AK4" s="163">
        <f>SUM(IF(AND($E$4=1,$F$4=3),1,0))+SUM(IF(AND($E$6=1,$F$6=3),1,0))+SUM(IF(AND($F$9=1,$E$9=3),1,0))+SUM(IF(AND($F$12=1,$E$12=3),1,0))+SUM(IF(AND($F$14=1,$E$14=3),1,0))+SUM(IF(AND($F$16=1,$E$16=3),1,0))+SUM(IF(AND($E$19=1,$F$19=3),1,0))+SUM(IF(AND($E$23=1,$F$23=3),1,0))</f>
        <v>0</v>
      </c>
      <c r="AL4" s="163">
        <f>SUM(IF(AND($E$4=0,$F$4=3),1,0))+SUM(IF(AND($E$6=0,$F$6=3),1,0))+SUM(IF(AND($F$9=0,$E$9=3),1,0))+SUM(IF(AND($F$12=0,$E$12=3),1,0))+SUM(IF(AND($F$14=0,$E$14=3),1,0))+SUM(IF(AND($F$16=0,$E$16=3),1,0))+SUM(IF(AND($E$19=0,$F$19=3),1,0))+SUM(IF(AND($E$23=0,$F$23=3),1,0))</f>
        <v>0</v>
      </c>
    </row>
    <row r="5" spans="1:38" ht="12" x14ac:dyDescent="0.2">
      <c r="A5" s="163" t="s">
        <v>276</v>
      </c>
      <c r="B5" s="163" t="s">
        <v>170</v>
      </c>
      <c r="C5" s="90" t="s">
        <v>207</v>
      </c>
      <c r="D5" s="92" t="s">
        <v>174</v>
      </c>
      <c r="E5" s="154">
        <v>2</v>
      </c>
      <c r="F5" s="154">
        <v>3</v>
      </c>
      <c r="G5" s="91">
        <v>18</v>
      </c>
      <c r="H5" s="91">
        <v>25</v>
      </c>
      <c r="I5" s="163">
        <v>25</v>
      </c>
      <c r="J5" s="163">
        <v>17</v>
      </c>
      <c r="K5" s="91">
        <v>25</v>
      </c>
      <c r="L5" s="91">
        <v>19</v>
      </c>
      <c r="M5" s="163">
        <v>15</v>
      </c>
      <c r="N5" s="163">
        <v>25</v>
      </c>
      <c r="O5" s="91">
        <v>11</v>
      </c>
      <c r="P5" s="91">
        <v>15</v>
      </c>
      <c r="Q5" s="163">
        <f t="shared" ref="Q5:R21" si="0">G5+I5+K5+M5+O5</f>
        <v>94</v>
      </c>
      <c r="R5" s="163">
        <f t="shared" si="0"/>
        <v>101</v>
      </c>
      <c r="T5" s="162">
        <v>2</v>
      </c>
      <c r="U5" s="194" t="s">
        <v>172</v>
      </c>
      <c r="V5" s="99">
        <f>AG5*3+AH5*3+AI5*2+AJ5*1+(ROUNDUP(WomenLeagueGames1stRound!V9/2,0))</f>
        <v>24</v>
      </c>
      <c r="W5" s="104">
        <f>X5+Y5+Z5</f>
        <v>8</v>
      </c>
      <c r="X5" s="104">
        <f>COUNTIF($F$7,"=3")+COUNTIF($E$8,"=3")+COUNTIF($F$10,"=3")+COUNTIF($E$12,"=3")+COUNTIF($E$17,"=3")+COUNTIF($F$18,"=3")+COUNTIF($E$20,"=3")+COUNTIF($F$23,"=3")</f>
        <v>6</v>
      </c>
      <c r="Y5" s="103">
        <f>SUM(IF($F$7&lt;$E$7,1,0))+SUM(IF($E$8&lt;$F$8,1,0))+SUM(IF($F$10&lt;$E$10,1,0))+SUM(IF($E$12&lt;$F$12,1,0))+SUM(IF($E$17&lt;$F$17,1,0))+SUM(IF($F$18&lt;$E$18,1,0))+SUM(IF($E$20&lt;$F$20,1,0))+SUM(IF($F$23&lt;$E$23,1,0))</f>
        <v>2</v>
      </c>
      <c r="Z5" s="101"/>
      <c r="AA5" s="93">
        <f>$F$7+$E$8+$F$10+$E$12+$E$17+$F$18+$E$20+$F$23</f>
        <v>20</v>
      </c>
      <c r="AB5" s="93">
        <f>$E$7+$F$8+$E$10+$F$12+$F$17+$E$18+$F$20+$E$23</f>
        <v>9</v>
      </c>
      <c r="AC5" s="163">
        <f>IF(AB5=0,"MAX",AA5/AB5)</f>
        <v>2.2222222222222223</v>
      </c>
      <c r="AD5" s="93">
        <f>$R$7+$Q$8+$R$10+$Q$12+$Q$17+$R$18+$Q$20+$R$23</f>
        <v>647</v>
      </c>
      <c r="AE5" s="93">
        <f>$Q$7+$R$8+$Q$10+$R$12+$R$17+$Q$18+$R$20+$Q$23</f>
        <v>550</v>
      </c>
      <c r="AF5" s="163">
        <f>IF(AE5=0,"MAX",AD5/AE5)</f>
        <v>1.1763636363636363</v>
      </c>
      <c r="AG5" s="163">
        <f>SUM(IF(AND($F$7=3,$E$7=0),1,0))+SUM(IF(AND($E$8=3,$F$8=0),1,0))+SUM(IF(AND($F$10=3,$E$10=0),1,0))+SUM(IF(AND($E$12=3,$F$12=0),1,0))+SUM(IF(AND($E$17=3,$F$17=0),1,0))+SUM(IF(AND($F$18=3,$E$18=0),1,0))+SUM(IF(AND($E$20=3,$F$20=0),1,0))+SUM(IF(AND($F$23=3,$E$23=0),1,0))</f>
        <v>3</v>
      </c>
      <c r="AH5" s="163">
        <f>SUM(IF(AND($F$7=3,$E$7=1),1,0))+SUM(IF(AND($E$8=3,$F$8=1),1,0))+SUM(IF(AND($F$10=3,$E$10=1),1,0))+SUM(IF(AND($E$12=3,$F$12=1),1,0))+SUM(IF(AND($E$17=3,$F$17=1),1,0))+SUM(IF(AND($F$18=3,$E$18=1),1,0))+SUM(IF(AND($E$20=3,$F$20=1),1,0))+SUM(IF(AND($F$23=3,$E$23=1),1,0))</f>
        <v>3</v>
      </c>
      <c r="AI5" s="163">
        <f>SUM(IF(AND($F$7=3,$E$7=2),1,0))+SUM(IF(AND($E$8=3,$F$8=2),1,0))+SUM(IF(AND($F$10=3,$E$10=2),1,0))+SUM(IF(AND($E$12=3,$F$12=2),1,0))+SUM(IF(AND($E$17=3,$F$17=2),1,0))+SUM(IF(AND($F$18=3,$E$18=2),1,0))+SUM(IF(AND($E$20=3,$F$20=2),1,0))+SUM(IF(AND($F$23=3,$E$23=2),1,0))</f>
        <v>0</v>
      </c>
      <c r="AJ5" s="163">
        <f>SUM(IF(AND($F$7=2,$E$7=3),1,0))+SUM(IF(AND($E$8=2,$F$8=3),1,0))+SUM(IF(AND($F$10=2,$E$10=3),1,0))+SUM(IF(AND($E$12=2,$F$12=3),1,0))+SUM(IF(AND($E$17=2,$F$17=3),1,0))+SUM(IF(AND($F$18=2,$E$18=3),1,0))+SUM(IF(AND($E$20=2,$F$20=3),1,0))+SUM(IF(AND($F$23=2,$E$23=3),1,0))</f>
        <v>1</v>
      </c>
      <c r="AK5" s="163">
        <f>SUM(IF(AND($F$7=1,$E$7=3),1,0))+SUM(IF(AND($E$8=1,$F$8=3),1,0))+SUM(IF(AND($F$10=1,$E$10=3),1,0))+SUM(IF(AND($E$12=1,$F$12=3),1,0))+SUM(IF(AND($E$17=1,$F$17=3),1,0))+SUM(IF(AND($F$18=1,$E$18=3),1,0))+SUM(IF(AND($E$20=1,$F$20=3),1,0))+SUM(IF(AND($F$23=1,$E$23=3),1,0))</f>
        <v>0</v>
      </c>
      <c r="AL5" s="163">
        <f>SUM(IF(AND($F$7=0,$E$7=3),1,0))+SUM(IF(AND($E$8=0,$F$8=3),1,0))+SUM(IF(AND($F$10=0,$E$10=3),1,0))+SUM(IF(AND($E$12=0,$F$12=3),1,0))+SUM(IF(AND($E$17=0,$F$17=3),1,0))+SUM(IF(AND($F$18=0,$E$18=3),1,0))+SUM(IF(AND($E$20=0,$F$20=3),1,0))+SUM(IF(AND($F$23=0,$E$23=3),1,0))</f>
        <v>1</v>
      </c>
    </row>
    <row r="6" spans="1:38" ht="12" x14ac:dyDescent="0.2">
      <c r="A6" s="163" t="s">
        <v>277</v>
      </c>
      <c r="B6" s="163" t="s">
        <v>170</v>
      </c>
      <c r="C6" s="162" t="s">
        <v>205</v>
      </c>
      <c r="D6" s="90" t="s">
        <v>174</v>
      </c>
      <c r="E6" s="154">
        <v>3</v>
      </c>
      <c r="F6" s="154">
        <v>0</v>
      </c>
      <c r="G6" s="91">
        <v>25</v>
      </c>
      <c r="H6" s="91">
        <v>22</v>
      </c>
      <c r="I6" s="163">
        <v>25</v>
      </c>
      <c r="J6" s="163">
        <v>11</v>
      </c>
      <c r="K6" s="91">
        <v>25</v>
      </c>
      <c r="L6" s="91">
        <v>14</v>
      </c>
      <c r="M6" s="163">
        <v>0</v>
      </c>
      <c r="N6" s="163">
        <v>0</v>
      </c>
      <c r="O6" s="91">
        <v>0</v>
      </c>
      <c r="P6" s="91">
        <v>0</v>
      </c>
      <c r="Q6" s="163">
        <f t="shared" si="0"/>
        <v>75</v>
      </c>
      <c r="R6" s="163">
        <f t="shared" si="0"/>
        <v>47</v>
      </c>
      <c r="T6" s="162">
        <v>3</v>
      </c>
      <c r="U6" s="162" t="s">
        <v>174</v>
      </c>
      <c r="V6" s="99">
        <f>AG6*3+AH6*3+AI6*2+AJ6*1+(ROUNDUP(WomenLeagueGames1stRound!V11/2,0))</f>
        <v>16</v>
      </c>
      <c r="W6" s="104">
        <f>X6+Y6+Z6</f>
        <v>8</v>
      </c>
      <c r="X6" s="104">
        <f>COUNTIF($F$5,"=3")+COUNTIF($F$6,"=3")+COUNTIF($E$10,"=3")+COUNTIF($E$13,"=3")+COUNTIF($E$15,"=3")+COUNTIF($E$16,"=3")+COUNTIF($F$20,"=3")+COUNTIF($F$22,"=3")</f>
        <v>4</v>
      </c>
      <c r="Y6" s="103">
        <f>SUM(IF($F$5&lt;$E$5,1,0))+SUM(IF($F$6&lt;$E$6,1,0))+SUM(IF($E$10&lt;$F$10,1,0))+SUM(IF($E$13&lt;$F$13,1,0))+SUM(IF($E$15&lt;$F$15,1,0))+SUM(IF($E$16&lt;$F$16,1,0))+SUM(IF($F$20&lt;$E$20,1,0))+SUM(IF($F$22&lt;$E$22,1,0))</f>
        <v>4</v>
      </c>
      <c r="Z6" s="101"/>
      <c r="AA6" s="93">
        <f>$F$5+$F$6+$E$10+$E$13+$E$15+$E$16+$F$20+$F$22</f>
        <v>13</v>
      </c>
      <c r="AB6" s="93">
        <f>$E$5+$E$6+$F$10+$F$13+$F$15+$F$16+$E$20+$E$22</f>
        <v>16</v>
      </c>
      <c r="AC6" s="163">
        <f>IF(AB6=0,"MAX",AA6/AB6)</f>
        <v>0.8125</v>
      </c>
      <c r="AD6" s="93">
        <f>$R$5+$R$6+$Q$10+$Q$13+$Q$15+$Q$16+$R$20+$R$22</f>
        <v>613</v>
      </c>
      <c r="AE6" s="93">
        <f>$Q$5+$Q$6+$R$10+$R$13+$R$15+$R$16+$Q$20+$Q$22</f>
        <v>577</v>
      </c>
      <c r="AF6" s="163">
        <f>IF(AE6=0,"MAX",AD6/AE6)</f>
        <v>1.0623916811091854</v>
      </c>
      <c r="AG6" s="163">
        <f>SUM(IF(AND($F$5=3,$E$5=0),1,0))+SUM(IF(AND($F$6=3,$E$6=0),1,0))+SUM(IF(AND($E$10=3,$F$10=0),1,0))+SUM(IF(AND($E$13=3,$F$13=0),1,0))+SUM(IF(AND($E$15=3,$F$15=0),1,0))+SUM(IF(AND($E$16=3,$F$16=0),1,0))+SUM(IF(AND($F$20=3,$E$20=0),1,0))+SUM(IF(AND($F$22=3,$E$22=0),1,0))</f>
        <v>1</v>
      </c>
      <c r="AH6" s="163">
        <f>SUM(IF(AND($F$5=3,$E$5=1),1,0))+SUM(IF(AND($F$6=3,$E$6=1),1,0))+SUM(IF(AND($E$10=3,$F$10=1),1,0))+SUM(IF(AND($E$13=3,$F$13=1),1,0))+SUM(IF(AND($E$15=3,$F$15=1),1,0))+SUM(IF(AND($E$16=3,$F$16=1),1,0))+SUM(IF(AND($F$20=3,$E$20=1),1,0))+SUM(IF(AND($F$22=3,$E$22=1),1,0))</f>
        <v>2</v>
      </c>
      <c r="AI6" s="163">
        <f>SUM(IF(AND($F$5=3,$E$5=2),1,0))+SUM(IF(AND($F$6=3,$E$6=2),1,0))+SUM(IF(AND($E$10=3,$F$10=2),1,0))+SUM(IF(AND($E$13=3,$F$13=2),1,0))+SUM(IF(AND($E$15=3,$F$15=2),1,0))+SUM(IF(AND($E$16=3,$F$16=2),1,0))+SUM(IF(AND($F$20=3,$E$20=2),1,0))+SUM(IF(AND($F$22=3,$E$22=2),1,0))</f>
        <v>1</v>
      </c>
      <c r="AJ6" s="163">
        <f>SUM(IF(AND($F$5=2,$E$5=3),1,0))+SUM(IF(AND($F$6=2,$E$6=3),1,0))+SUM(IF(AND($E$10=2,$F$10=3),1,0))+SUM(IF(AND($E$13=2,$F$13=3),1,0))+SUM(IF(AND($E$15=2,$F$15=3),1,0))+SUM(IF(AND($E$16=2,$F$16=3),1,0))+SUM(IF(AND($F$20=2,$E$20=3),1,0))+SUM(IF(AND($F$22=2,$E$22=3),1,0))</f>
        <v>0</v>
      </c>
      <c r="AK6" s="163">
        <f>SUM(IF(AND($F$5=1,$E$5=3),1,0))+SUM(IF(AND($F$6=1,$E$6=3),1,0))+SUM(IF(AND($E$10=1,$F$10=3),1,0))+SUM(IF(AND($E$13=1,$F$13=3),1,0))+SUM(IF(AND($E$15=1,$F$15=3),1,0))+SUM(IF(AND($E$16=1,$F$16=3),1,0))+SUM(IF(AND($F$20=1,$E$20=3),1,0))+SUM(IF(AND($F$22=1,$E$22=3),1,0))</f>
        <v>1</v>
      </c>
      <c r="AL6" s="163">
        <f>SUM(IF(AND($F$5=0,$E$5=3),1,0))+SUM(IF(AND($F$6=0,$E$6=3),1,0))+SUM(IF(AND($E$10=0,$F$10=3),1,0))+SUM(IF(AND($E$13=0,$F$13=3),1,0))+SUM(IF(AND($E$15=0,$F$15=3),1,0))+SUM(IF(AND($E$16=0,$F$16=3),1,0))+SUM(IF(AND($F$20=0,$E$20=3),1,0))+SUM(IF(AND($F$22=0,$E$22=3),1,0))</f>
        <v>3</v>
      </c>
    </row>
    <row r="7" spans="1:38" ht="12" x14ac:dyDescent="0.2">
      <c r="A7" s="163" t="s">
        <v>278</v>
      </c>
      <c r="B7" s="163" t="s">
        <v>170</v>
      </c>
      <c r="C7" s="90" t="s">
        <v>207</v>
      </c>
      <c r="D7" s="92" t="s">
        <v>172</v>
      </c>
      <c r="E7" s="154">
        <v>0</v>
      </c>
      <c r="F7" s="154">
        <v>3</v>
      </c>
      <c r="G7" s="91">
        <v>14</v>
      </c>
      <c r="H7" s="91">
        <v>25</v>
      </c>
      <c r="I7" s="163">
        <v>24</v>
      </c>
      <c r="J7" s="163">
        <v>26</v>
      </c>
      <c r="K7" s="91">
        <v>16</v>
      </c>
      <c r="L7" s="91">
        <v>26</v>
      </c>
      <c r="M7" s="163">
        <v>0</v>
      </c>
      <c r="N7" s="163">
        <v>0</v>
      </c>
      <c r="O7" s="91">
        <v>0</v>
      </c>
      <c r="P7" s="91">
        <v>0</v>
      </c>
      <c r="Q7" s="163">
        <f t="shared" si="0"/>
        <v>54</v>
      </c>
      <c r="R7" s="163">
        <f t="shared" si="0"/>
        <v>77</v>
      </c>
      <c r="T7" s="162">
        <v>4</v>
      </c>
      <c r="U7" s="195" t="s">
        <v>153</v>
      </c>
      <c r="V7" s="99">
        <f>AG7*3+AH7*3+AI7*2+AJ7*1+(ROUNDUP(WomenLeagueGames1stRound!V12/2,0))</f>
        <v>7</v>
      </c>
      <c r="W7" s="104">
        <f>X7+Y7+Z7</f>
        <v>8</v>
      </c>
      <c r="X7" s="104">
        <f>COUNTIF($F$4,"=3")+COUNTIF($F$8,"=3")+COUNTIF($E$11,"=3")+COUNTIF($F$13,"=3")+COUNTIF($E$14,"=3")+COUNTIF($E$18,"=3")+COUNTIF($F$21,"=3")+COUNTIF($E$22,"=3")</f>
        <v>1</v>
      </c>
      <c r="Y7" s="103">
        <f>SUM(IF($F$4&lt;$E$4,1,0))+SUM(IF($F$8&lt;$E$8,1,0))+SUM(IF($E$11&lt;$F$11,1,0))+SUM(IF($F$13&lt;$E$13,1,0))+SUM(IF($E$14&lt;$F$14,1,0))+SUM(IF($E$18&lt;$F$18,1,0))+SUM(IF($F$21&lt;$E$21,1,0))+SUM(IF($E$22&lt;$F$22,1,0))</f>
        <v>7</v>
      </c>
      <c r="Z7" s="101"/>
      <c r="AA7" s="93">
        <f>$F$4+$F$8+$E$11+$F$13+$E$14+$E$18+$F$21+$E$22</f>
        <v>6</v>
      </c>
      <c r="AB7" s="93">
        <f>$E$4+$E$8+$F$11+$E$13+$F$14+$F$18+$E$21+$F$22</f>
        <v>21</v>
      </c>
      <c r="AC7" s="163">
        <f>IF(AB7=0,"MAX",AA7/AB7)</f>
        <v>0.2857142857142857</v>
      </c>
      <c r="AD7" s="93">
        <f>$R$4+$R$8+$Q$11+$R$13+$Q$14+$Q$18+$R$21+$Q$22</f>
        <v>516</v>
      </c>
      <c r="AE7" s="93">
        <f>$Q$4+$Q$8+$R$11+$Q$13+$R$14+$R$18+$Q$21+$R$22</f>
        <v>653</v>
      </c>
      <c r="AF7" s="163">
        <f>IF(AE7=0,"MAX",AD7/AE7)</f>
        <v>0.79019908116385906</v>
      </c>
      <c r="AG7" s="163">
        <f>SUM(IF(AND($F$4=3,$E$4=0),1,0))+SUM(IF(AND($F$8=3,$E$8=0),1,0))+SUM(IF(AND($E$11=3,$F$11=0),1,0))+SUM(IF(AND($F$13=3,$E$13=0),1,0))+SUM(IF(AND($E$14=3,$F$14=0),1,0))+SUM(IF(AND($E$18=3,$F$18=0),1,0))+SUM(IF(AND($F$21=3,$E$21=0),1,0))+SUM(IF(AND($E$22=3,$F$22=0),1,0))</f>
        <v>1</v>
      </c>
      <c r="AH7" s="163">
        <f>SUM(IF(AND($F$4=3,$E$4=1),1,0))+SUM(IF(AND($F$8=3,$E$8=1),1,0))+SUM(IF(AND($E$11=3,$F$11=1),1,0))+SUM(IF(AND($F$13=3,$E$13=1),1,0))+SUM(IF(AND($E$14=3,$F$14=1),1,0))+SUM(IF(AND($E$18=3,$F$18=1),1,0))+SUM(IF(AND($F$21=3,$E$21=1),1,0))+SUM(IF(AND($E$22=3,$F$22=1),1,0))</f>
        <v>0</v>
      </c>
      <c r="AI7" s="163">
        <f>SUM(IF(AND($F$4=3,$E$4=2),1,0))+SUM(IF(AND($F$8=3,$E$8=2),1,0))+SUM(IF(AND($E$11=3,$F$11=2),1,0))+SUM(IF(AND($F$13=3,$E$13=2),1,0))+SUM(IF(AND($E$14=3,$F$14=2),1,0))+SUM(IF(AND($E$18=3,$F$18=2),1,0))+SUM(IF(AND($F$21=3,$E$21=2),1,0))+SUM(IF(AND($E$22=3,$F$22=2),1,0))</f>
        <v>0</v>
      </c>
      <c r="AJ7" s="163">
        <f>SUM(IF(AND($F$4=2,$E$4=3),1,0))+SUM(IF(AND($F$8=2,$E$8=3),1,0))+SUM(IF(AND($E$11=2,$F$11=3),1,0))+SUM(IF(AND($F$13=2,$E$13=3),1,0))+SUM(IF(AND($E$14=2,$F$14=3),1,0))+SUM(IF(AND($E$18=2,$F$18=3),1,0))+SUM(IF(AND($F$21=2,$E$21=3),1,0))+SUM(IF(AND($E$22=2,$F$22=3),1,0))</f>
        <v>0</v>
      </c>
      <c r="AK7" s="163">
        <f>SUM(IF(AND($F$4=1,$E$4=3),1,0))+SUM(IF(AND($F$8=1,$E$8=3),1,0))+SUM(IF(AND($E$11=1,$F$11=3),1,0))+SUM(IF(AND($F$13=1,$E$13=3),1,0))+SUM(IF(AND($E$14=1,$F$14=3),1,0))+SUM(IF(AND($E$18=1,$F$18=3),1,0))+SUM(IF(AND($F$21=1,$E$21=3),1,0))+SUM(IF(AND($E$22=1,$F$22=3),1,0))</f>
        <v>3</v>
      </c>
      <c r="AL7" s="163">
        <f>SUM(IF(AND($F$4=0,$E$4=3),1,0))+SUM(IF(AND($F$8=0,$E$8=3),1,0))+SUM(IF(AND($E$11=0,$F$11=3),1,0))+SUM(IF(AND($F$13=0,$E$13=3),1,0))+SUM(IF(AND($E$14=0,$F$14=3),1,0))+SUM(IF(AND($E$18=0,$F$18=3),1,0))+SUM(IF(AND($F$21=0,$E$21=3),1,0))+SUM(IF(AND($E$22=0,$F$22=3),1,0))</f>
        <v>4</v>
      </c>
    </row>
    <row r="8" spans="1:38" ht="12" x14ac:dyDescent="0.2">
      <c r="A8" s="163" t="s">
        <v>279</v>
      </c>
      <c r="B8" s="163" t="s">
        <v>170</v>
      </c>
      <c r="C8" s="90" t="s">
        <v>172</v>
      </c>
      <c r="D8" s="92" t="s">
        <v>153</v>
      </c>
      <c r="E8" s="154">
        <v>3</v>
      </c>
      <c r="F8" s="154">
        <v>1</v>
      </c>
      <c r="G8" s="91">
        <v>25</v>
      </c>
      <c r="H8" s="91">
        <v>18</v>
      </c>
      <c r="I8" s="163">
        <v>24</v>
      </c>
      <c r="J8" s="163">
        <v>26</v>
      </c>
      <c r="K8" s="91">
        <v>25</v>
      </c>
      <c r="L8" s="91">
        <v>14</v>
      </c>
      <c r="M8" s="163">
        <v>25</v>
      </c>
      <c r="N8" s="163">
        <v>22</v>
      </c>
      <c r="O8" s="91">
        <v>0</v>
      </c>
      <c r="P8" s="91">
        <v>0</v>
      </c>
      <c r="Q8" s="163">
        <f t="shared" si="0"/>
        <v>99</v>
      </c>
      <c r="R8" s="163">
        <f t="shared" si="0"/>
        <v>80</v>
      </c>
      <c r="T8" s="162">
        <v>5</v>
      </c>
      <c r="U8" s="162" t="s">
        <v>207</v>
      </c>
      <c r="V8" s="99">
        <f>AG8*3+AH8*3+AI8*2+AJ8*1+(ROUNDUP(WomenLeagueGames1stRound!V13/2,0))</f>
        <v>6</v>
      </c>
      <c r="W8" s="104">
        <f>X8+Y8+Z8</f>
        <v>8</v>
      </c>
      <c r="X8" s="104">
        <f>COUNTIF($E$5,"=3")+COUNTIF($E$7,"=3")+COUNTIF($E$9,"=3")+COUNTIF($F$11,"=3")+COUNTIF($F$15,"=3")+COUNTIF($F$17,"=3")+COUNTIF($F$19,"=3")+COUNTIF($E$21,"=3")</f>
        <v>1</v>
      </c>
      <c r="Y8" s="103">
        <f>SUM(IF($E$5&lt;$F$5,1,0))+SUM(IF($E$7&lt;$F$7,1,0))+SUM(IF($E$9&lt;$F$9,1,0))+SUM(IF($F$11&lt;$E$11,1,0))+SUM(IF($F$15&lt;$E$15,1,0))+SUM(IF($F$17&lt;$E$17,1,0))+SUM(IF($F$19&lt;$E$19,1,0))+SUM(IF($E$21&lt;$F$21,1,0))-1</f>
        <v>6</v>
      </c>
      <c r="Z8" s="101">
        <v>1</v>
      </c>
      <c r="AA8" s="93">
        <f>$E$5+$E$7+$E$9+$F$11+$F$15+$F$17+$F$19+$E$21</f>
        <v>6</v>
      </c>
      <c r="AB8" s="93">
        <f>$F$5+$F$7+$F$9+$E$11+$E$15+$E$17+$E$19+$F$21</f>
        <v>21</v>
      </c>
      <c r="AC8" s="163">
        <f>IF(AB8=0,"MAX",AA8/AB8)</f>
        <v>0.2857142857142857</v>
      </c>
      <c r="AD8" s="93">
        <f>$Q$5+$Q$7+$Q$9+$R$11+$R$15+$R$17+$R$19+$Q$21</f>
        <v>458</v>
      </c>
      <c r="AE8" s="93">
        <f>$R$5+$R$7+$R$9+$Q$11+$Q$15+$Q$17+$Q$19+$R$21</f>
        <v>639</v>
      </c>
      <c r="AF8" s="163">
        <f>IF(AE8=0,"MAX",AD8/AE8)</f>
        <v>0.71674491392801254</v>
      </c>
      <c r="AG8" s="163">
        <f>SUM(IF(AND($E$5=3,$F$5=0),1,0))+SUM(IF(AND($E$7=3,$F$7=0),1,0))+SUM(IF(AND($E$9=3,$F$9=0),1,0))+SUM(IF(AND($F$11=3,$E$11=0),1,0))+SUM(IF(AND($F$15=3,$E$15=0),1,0))+SUM(IF(AND($F$17=3,$E$17=0),1,0))+SUM(IF(AND($F$19=3,$E$19=0),1,0))+SUM(IF(AND($E$21=3,$F$21=0),1,0))</f>
        <v>1</v>
      </c>
      <c r="AH8" s="163">
        <f>SUM(IF(AND($E$5=3,$F$5=1),1,0))+SUM(IF(AND($E$7=3,$F$7=1),1,0))+SUM(IF(AND($E$9=3,$F$9=1),1,0))+SUM(IF(AND($F$11=3,$E$11=1),1,0))+SUM(IF(AND($F$15=3,$E$15=1),1,0))+SUM(IF(AND($F$17=3,$E$17=1),1,0))+SUM(IF(AND($F$19=3,$E$19=1),1,0))+SUM(IF(AND($E$21=3,$F$21=1),1,0))</f>
        <v>0</v>
      </c>
      <c r="AI8" s="163">
        <f>SUM(IF(AND($E$5=3,$F$5=2),1,0))+SUM(IF(AND($E$7=3,$F$7=2),1,0))+SUM(IF(AND($E$9=3,$F$9=2),1,0))+SUM(IF(AND($F$11=3,$E$11=2),1,0))+SUM(IF(AND($F$15=3,$E$15=2),1,0))+SUM(IF(AND($F$17=3,$E$17=2),1,0))+SUM(IF(AND($F$19=3,$E$19=2),1,0))+SUM(IF(AND($E$21=3,$F$21=2),1,0))</f>
        <v>0</v>
      </c>
      <c r="AJ8" s="163">
        <f>SUM(IF(AND($E$5=2,$F$5=3),1,0))+SUM(IF(AND($E$7=2,$F$7=3),1,0))+SUM(IF(AND($E$9=2,$F$9=3),1,0))+SUM(IF(AND($F$11=2,$E$11=3),1,0))+SUM(IF(AND($F$15=2,$E$15=3),1,0))+SUM(IF(AND($F$17=2,$E$17=3),1,0))+SUM(IF(AND($F$19=2,$E$19=3),1,0))+SUM(IF(AND($E$21=2,$F$21=3),1,0))</f>
        <v>1</v>
      </c>
      <c r="AK8" s="163">
        <f>SUM(IF(AND($E$5=1,$F$5=3),1,0))+SUM(IF(AND($E$7=1,$F$7=3),1,0))+SUM(IF(AND($E$9=1,$F$9=3),1,0))+SUM(IF(AND($F$11=1,$E$11=3),1,0))+SUM(IF(AND($F$15=1,$E$15=3),1,0))+SUM(IF(AND($F$17=1,$E$17=3),1,0))+SUM(IF(AND($F$19=1,$E$19=3),1,0))+SUM(IF(AND($E$21=1,$F$21=3),1,0))</f>
        <v>1</v>
      </c>
      <c r="AL8" s="163">
        <f>SUM(IF(AND($E$5=10,$F$5=3),1,0))+SUM(IF(AND($E$7=0,$F$7=3),1,0))+SUM(IF(AND($E$9=0,$F$9=3),1,0))+SUM(IF(AND($F$11=0,$E$11=3),1,0))+SUM(IF(AND($F$15=0,$E$15=3),1,0))+SUM(IF(AND($F$17=0,$E$17=3),1,0))+SUM(IF(AND($F$19=0,$E$19=3),1,0))+SUM(IF(AND($E$21=0,$F$21=3),1,0))</f>
        <v>5</v>
      </c>
    </row>
    <row r="9" spans="1:38" ht="12" x14ac:dyDescent="0.2">
      <c r="A9" s="163" t="s">
        <v>280</v>
      </c>
      <c r="B9" s="163" t="s">
        <v>170</v>
      </c>
      <c r="C9" s="90" t="s">
        <v>207</v>
      </c>
      <c r="D9" s="92" t="s">
        <v>205</v>
      </c>
      <c r="E9" s="154">
        <v>0</v>
      </c>
      <c r="F9" s="154">
        <v>3</v>
      </c>
      <c r="G9" s="91">
        <v>20</v>
      </c>
      <c r="H9" s="91">
        <v>25</v>
      </c>
      <c r="I9" s="163">
        <v>26</v>
      </c>
      <c r="J9" s="163">
        <v>28</v>
      </c>
      <c r="K9" s="91">
        <v>16</v>
      </c>
      <c r="L9" s="91">
        <v>25</v>
      </c>
      <c r="M9" s="163">
        <v>0</v>
      </c>
      <c r="N9" s="163">
        <v>0</v>
      </c>
      <c r="O9" s="91">
        <v>0</v>
      </c>
      <c r="P9" s="91">
        <v>0</v>
      </c>
      <c r="Q9" s="163">
        <f t="shared" si="0"/>
        <v>62</v>
      </c>
      <c r="R9" s="163">
        <f t="shared" si="0"/>
        <v>78</v>
      </c>
    </row>
    <row r="10" spans="1:38" ht="12" x14ac:dyDescent="0.2">
      <c r="A10" s="163" t="s">
        <v>281</v>
      </c>
      <c r="B10" s="163" t="s">
        <v>170</v>
      </c>
      <c r="C10" s="162" t="s">
        <v>174</v>
      </c>
      <c r="D10" s="90" t="s">
        <v>172</v>
      </c>
      <c r="E10" s="154">
        <v>0</v>
      </c>
      <c r="F10" s="154">
        <v>3</v>
      </c>
      <c r="G10" s="91">
        <v>21</v>
      </c>
      <c r="H10" s="91">
        <v>25</v>
      </c>
      <c r="I10" s="163">
        <v>23</v>
      </c>
      <c r="J10" s="163">
        <v>25</v>
      </c>
      <c r="K10" s="91">
        <v>19</v>
      </c>
      <c r="L10" s="91">
        <v>2</v>
      </c>
      <c r="M10" s="163">
        <v>0</v>
      </c>
      <c r="N10" s="163">
        <v>0</v>
      </c>
      <c r="O10" s="91">
        <v>0</v>
      </c>
      <c r="P10" s="91">
        <v>0</v>
      </c>
      <c r="Q10" s="163">
        <f t="shared" si="0"/>
        <v>63</v>
      </c>
      <c r="R10" s="163">
        <f t="shared" si="0"/>
        <v>52</v>
      </c>
      <c r="U10" s="217" t="s">
        <v>360</v>
      </c>
    </row>
    <row r="11" spans="1:38" ht="12" x14ac:dyDescent="0.2">
      <c r="A11" s="163" t="s">
        <v>282</v>
      </c>
      <c r="B11" s="163" t="s">
        <v>170</v>
      </c>
      <c r="C11" s="90" t="s">
        <v>153</v>
      </c>
      <c r="D11" s="90" t="s">
        <v>207</v>
      </c>
      <c r="E11" s="154">
        <v>0</v>
      </c>
      <c r="F11" s="154">
        <v>3</v>
      </c>
      <c r="G11" s="91">
        <v>21</v>
      </c>
      <c r="H11" s="91">
        <v>25</v>
      </c>
      <c r="I11" s="163">
        <v>18</v>
      </c>
      <c r="J11" s="163">
        <v>25</v>
      </c>
      <c r="K11" s="91">
        <v>18</v>
      </c>
      <c r="L11" s="91">
        <v>25</v>
      </c>
      <c r="M11" s="163">
        <v>0</v>
      </c>
      <c r="N11" s="163">
        <v>0</v>
      </c>
      <c r="O11" s="91">
        <v>0</v>
      </c>
      <c r="P11" s="91">
        <v>0</v>
      </c>
      <c r="Q11" s="163">
        <f t="shared" si="0"/>
        <v>57</v>
      </c>
      <c r="R11" s="163">
        <f t="shared" si="0"/>
        <v>75</v>
      </c>
      <c r="U11" s="218" t="s">
        <v>205</v>
      </c>
    </row>
    <row r="12" spans="1:38" ht="12" x14ac:dyDescent="0.2">
      <c r="A12" s="163" t="s">
        <v>283</v>
      </c>
      <c r="B12" s="163" t="s">
        <v>170</v>
      </c>
      <c r="C12" s="162" t="s">
        <v>172</v>
      </c>
      <c r="D12" s="90" t="s">
        <v>205</v>
      </c>
      <c r="E12" s="154">
        <v>0</v>
      </c>
      <c r="F12" s="154">
        <v>3</v>
      </c>
      <c r="G12" s="91">
        <v>15</v>
      </c>
      <c r="H12" s="91">
        <v>25</v>
      </c>
      <c r="I12" s="163">
        <v>16</v>
      </c>
      <c r="J12" s="163">
        <v>25</v>
      </c>
      <c r="K12" s="91">
        <v>17</v>
      </c>
      <c r="L12" s="91">
        <v>25</v>
      </c>
      <c r="M12" s="163">
        <v>0</v>
      </c>
      <c r="N12" s="163">
        <v>0</v>
      </c>
      <c r="O12" s="91">
        <v>0</v>
      </c>
      <c r="P12" s="91">
        <v>0</v>
      </c>
      <c r="Q12" s="163">
        <f t="shared" si="0"/>
        <v>48</v>
      </c>
      <c r="R12" s="163">
        <f t="shared" si="0"/>
        <v>75</v>
      </c>
    </row>
    <row r="13" spans="1:38" ht="12" x14ac:dyDescent="0.2">
      <c r="A13" s="163" t="s">
        <v>284</v>
      </c>
      <c r="B13" s="163" t="s">
        <v>170</v>
      </c>
      <c r="C13" s="90" t="s">
        <v>174</v>
      </c>
      <c r="D13" s="90" t="s">
        <v>153</v>
      </c>
      <c r="E13" s="154">
        <v>3</v>
      </c>
      <c r="F13" s="154">
        <v>0</v>
      </c>
      <c r="G13" s="91">
        <v>25</v>
      </c>
      <c r="H13" s="91">
        <v>19</v>
      </c>
      <c r="I13" s="163">
        <v>25</v>
      </c>
      <c r="J13" s="163">
        <v>20</v>
      </c>
      <c r="K13" s="91">
        <v>25</v>
      </c>
      <c r="L13" s="91">
        <v>12</v>
      </c>
      <c r="M13" s="163">
        <v>0</v>
      </c>
      <c r="N13" s="163">
        <v>0</v>
      </c>
      <c r="O13" s="91">
        <v>0</v>
      </c>
      <c r="P13" s="91">
        <v>0</v>
      </c>
      <c r="Q13" s="163">
        <f t="shared" si="0"/>
        <v>75</v>
      </c>
      <c r="R13" s="163">
        <f t="shared" si="0"/>
        <v>51</v>
      </c>
    </row>
    <row r="14" spans="1:38" ht="12" x14ac:dyDescent="0.2">
      <c r="A14" s="163" t="s">
        <v>285</v>
      </c>
      <c r="B14" s="163" t="s">
        <v>265</v>
      </c>
      <c r="C14" s="162" t="s">
        <v>153</v>
      </c>
      <c r="D14" s="90" t="s">
        <v>205</v>
      </c>
      <c r="E14" s="154">
        <v>0</v>
      </c>
      <c r="F14" s="154">
        <v>3</v>
      </c>
      <c r="G14" s="91">
        <v>16</v>
      </c>
      <c r="H14" s="91">
        <v>25</v>
      </c>
      <c r="I14" s="163">
        <v>17</v>
      </c>
      <c r="J14" s="163">
        <v>25</v>
      </c>
      <c r="K14" s="91">
        <v>7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0"/>
        <v>40</v>
      </c>
      <c r="R14" s="163">
        <f t="shared" si="0"/>
        <v>75</v>
      </c>
    </row>
    <row r="15" spans="1:38" ht="12" x14ac:dyDescent="0.2">
      <c r="A15" s="163" t="s">
        <v>286</v>
      </c>
      <c r="B15" s="163" t="s">
        <v>265</v>
      </c>
      <c r="C15" s="90" t="s">
        <v>174</v>
      </c>
      <c r="D15" s="92" t="s">
        <v>207</v>
      </c>
      <c r="E15" s="154">
        <v>3</v>
      </c>
      <c r="F15" s="154">
        <v>1</v>
      </c>
      <c r="G15" s="91">
        <v>24</v>
      </c>
      <c r="H15" s="91">
        <v>26</v>
      </c>
      <c r="I15" s="163">
        <v>25</v>
      </c>
      <c r="J15" s="163">
        <v>14</v>
      </c>
      <c r="K15" s="91">
        <v>25</v>
      </c>
      <c r="L15" s="91">
        <v>12</v>
      </c>
      <c r="M15" s="163">
        <v>25</v>
      </c>
      <c r="N15" s="163">
        <v>12</v>
      </c>
      <c r="O15" s="91">
        <v>0</v>
      </c>
      <c r="P15" s="91">
        <v>0</v>
      </c>
      <c r="Q15" s="163">
        <f t="shared" si="0"/>
        <v>99</v>
      </c>
      <c r="R15" s="163">
        <f t="shared" si="0"/>
        <v>64</v>
      </c>
    </row>
    <row r="16" spans="1:38" ht="12" x14ac:dyDescent="0.2">
      <c r="A16" s="163" t="s">
        <v>287</v>
      </c>
      <c r="B16" s="163" t="s">
        <v>265</v>
      </c>
      <c r="C16" s="162" t="s">
        <v>174</v>
      </c>
      <c r="D16" s="90" t="s">
        <v>205</v>
      </c>
      <c r="E16" s="154">
        <v>0</v>
      </c>
      <c r="F16" s="154">
        <v>3</v>
      </c>
      <c r="G16" s="91">
        <v>15</v>
      </c>
      <c r="H16" s="91">
        <v>25</v>
      </c>
      <c r="I16" s="163">
        <v>13</v>
      </c>
      <c r="J16" s="163">
        <v>25</v>
      </c>
      <c r="K16" s="91">
        <v>18</v>
      </c>
      <c r="L16" s="91">
        <v>25</v>
      </c>
      <c r="M16" s="163">
        <v>0</v>
      </c>
      <c r="N16" s="163">
        <v>0</v>
      </c>
      <c r="O16" s="91">
        <v>0</v>
      </c>
      <c r="P16" s="91">
        <v>0</v>
      </c>
      <c r="Q16" s="163">
        <f t="shared" si="0"/>
        <v>46</v>
      </c>
      <c r="R16" s="163">
        <f t="shared" si="0"/>
        <v>75</v>
      </c>
    </row>
    <row r="17" spans="1:18" ht="12" x14ac:dyDescent="0.2">
      <c r="A17" s="163" t="s">
        <v>288</v>
      </c>
      <c r="B17" s="163" t="s">
        <v>265</v>
      </c>
      <c r="C17" s="90" t="s">
        <v>172</v>
      </c>
      <c r="D17" s="92" t="s">
        <v>207</v>
      </c>
      <c r="E17" s="154">
        <v>3</v>
      </c>
      <c r="F17" s="154">
        <v>0</v>
      </c>
      <c r="G17" s="91">
        <v>25</v>
      </c>
      <c r="H17" s="91">
        <v>0</v>
      </c>
      <c r="I17" s="163">
        <v>25</v>
      </c>
      <c r="J17" s="163">
        <v>0</v>
      </c>
      <c r="K17" s="91">
        <v>25</v>
      </c>
      <c r="L17" s="91">
        <v>0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0"/>
        <v>75</v>
      </c>
      <c r="R17" s="163">
        <f t="shared" si="0"/>
        <v>0</v>
      </c>
    </row>
    <row r="18" spans="1:18" ht="12" x14ac:dyDescent="0.2">
      <c r="A18" s="163" t="s">
        <v>289</v>
      </c>
      <c r="B18" s="163" t="s">
        <v>265</v>
      </c>
      <c r="C18" s="90" t="s">
        <v>153</v>
      </c>
      <c r="D18" s="92" t="s">
        <v>172</v>
      </c>
      <c r="E18" s="154">
        <v>1</v>
      </c>
      <c r="F18" s="154">
        <v>3</v>
      </c>
      <c r="G18" s="91">
        <v>27</v>
      </c>
      <c r="H18" s="91">
        <v>29</v>
      </c>
      <c r="I18" s="163">
        <v>25</v>
      </c>
      <c r="J18" s="163">
        <v>23</v>
      </c>
      <c r="K18" s="91">
        <v>17</v>
      </c>
      <c r="L18" s="91">
        <v>25</v>
      </c>
      <c r="M18" s="163">
        <v>20</v>
      </c>
      <c r="N18" s="163">
        <v>25</v>
      </c>
      <c r="O18" s="91">
        <v>0</v>
      </c>
      <c r="P18" s="91">
        <v>0</v>
      </c>
      <c r="Q18" s="163">
        <f t="shared" si="0"/>
        <v>89</v>
      </c>
      <c r="R18" s="163">
        <f t="shared" si="0"/>
        <v>102</v>
      </c>
    </row>
    <row r="19" spans="1:18" ht="12" x14ac:dyDescent="0.2">
      <c r="A19" s="163" t="s">
        <v>290</v>
      </c>
      <c r="B19" s="163" t="s">
        <v>265</v>
      </c>
      <c r="C19" s="90" t="s">
        <v>205</v>
      </c>
      <c r="D19" s="92" t="s">
        <v>207</v>
      </c>
      <c r="E19" s="154">
        <v>3</v>
      </c>
      <c r="F19" s="154">
        <v>0</v>
      </c>
      <c r="G19" s="91">
        <v>25</v>
      </c>
      <c r="H19" s="91">
        <v>14</v>
      </c>
      <c r="I19" s="163">
        <v>25</v>
      </c>
      <c r="J19" s="163">
        <v>18</v>
      </c>
      <c r="K19" s="91">
        <v>25</v>
      </c>
      <c r="L19" s="91">
        <v>23</v>
      </c>
      <c r="M19" s="163">
        <v>0</v>
      </c>
      <c r="N19" s="163">
        <v>0</v>
      </c>
      <c r="O19" s="91">
        <v>0</v>
      </c>
      <c r="P19" s="91">
        <v>0</v>
      </c>
      <c r="Q19" s="163">
        <f t="shared" si="0"/>
        <v>75</v>
      </c>
      <c r="R19" s="163">
        <f t="shared" si="0"/>
        <v>55</v>
      </c>
    </row>
    <row r="20" spans="1:18" ht="12" x14ac:dyDescent="0.2">
      <c r="A20" s="163" t="s">
        <v>291</v>
      </c>
      <c r="B20" s="163" t="s">
        <v>265</v>
      </c>
      <c r="C20" s="162" t="s">
        <v>172</v>
      </c>
      <c r="D20" s="90" t="s">
        <v>174</v>
      </c>
      <c r="E20" s="154">
        <v>3</v>
      </c>
      <c r="F20" s="154">
        <v>1</v>
      </c>
      <c r="G20" s="91">
        <v>20</v>
      </c>
      <c r="H20" s="91">
        <v>25</v>
      </c>
      <c r="I20" s="163">
        <v>26</v>
      </c>
      <c r="J20" s="163">
        <v>24</v>
      </c>
      <c r="K20" s="91">
        <v>25</v>
      </c>
      <c r="L20" s="91">
        <v>17</v>
      </c>
      <c r="M20" s="163">
        <v>25</v>
      </c>
      <c r="N20" s="163">
        <v>18</v>
      </c>
      <c r="O20" s="91">
        <v>0</v>
      </c>
      <c r="P20" s="91">
        <v>0</v>
      </c>
      <c r="Q20" s="163">
        <f t="shared" si="0"/>
        <v>96</v>
      </c>
      <c r="R20" s="163">
        <f t="shared" si="0"/>
        <v>84</v>
      </c>
    </row>
    <row r="21" spans="1:18" ht="12" x14ac:dyDescent="0.2">
      <c r="A21" s="163" t="s">
        <v>292</v>
      </c>
      <c r="B21" s="163" t="s">
        <v>265</v>
      </c>
      <c r="C21" s="90" t="s">
        <v>207</v>
      </c>
      <c r="D21" s="90" t="s">
        <v>153</v>
      </c>
      <c r="E21" s="154">
        <v>0</v>
      </c>
      <c r="F21" s="154">
        <v>3</v>
      </c>
      <c r="G21" s="91">
        <v>15</v>
      </c>
      <c r="H21" s="91">
        <v>25</v>
      </c>
      <c r="I21" s="163">
        <v>14</v>
      </c>
      <c r="J21" s="163">
        <v>25</v>
      </c>
      <c r="K21" s="91">
        <v>25</v>
      </c>
      <c r="L21" s="91">
        <v>27</v>
      </c>
      <c r="M21" s="163">
        <v>0</v>
      </c>
      <c r="N21" s="163">
        <v>0</v>
      </c>
      <c r="O21" s="91">
        <v>0</v>
      </c>
      <c r="P21" s="91">
        <v>0</v>
      </c>
      <c r="Q21" s="163">
        <f t="shared" si="0"/>
        <v>54</v>
      </c>
      <c r="R21" s="163">
        <f t="shared" si="0"/>
        <v>77</v>
      </c>
    </row>
    <row r="22" spans="1:18" ht="12" x14ac:dyDescent="0.2">
      <c r="A22" s="163" t="s">
        <v>293</v>
      </c>
      <c r="B22" s="163" t="s">
        <v>265</v>
      </c>
      <c r="C22" s="162" t="s">
        <v>153</v>
      </c>
      <c r="D22" s="90" t="s">
        <v>174</v>
      </c>
      <c r="E22" s="154">
        <v>1</v>
      </c>
      <c r="F22" s="154">
        <v>3</v>
      </c>
      <c r="G22" s="91">
        <v>25</v>
      </c>
      <c r="H22" s="91">
        <v>23</v>
      </c>
      <c r="I22" s="163">
        <v>14</v>
      </c>
      <c r="J22" s="163">
        <v>25</v>
      </c>
      <c r="K22" s="91">
        <v>18</v>
      </c>
      <c r="L22" s="91">
        <v>25</v>
      </c>
      <c r="M22" s="163">
        <v>13</v>
      </c>
      <c r="N22" s="163">
        <v>25</v>
      </c>
      <c r="O22" s="91">
        <v>0</v>
      </c>
      <c r="P22" s="91">
        <v>0</v>
      </c>
      <c r="Q22" s="163">
        <f>G22+I22+K22+M22+O22</f>
        <v>70</v>
      </c>
      <c r="R22" s="163">
        <f>H22+J22+L22+N22+P22</f>
        <v>98</v>
      </c>
    </row>
    <row r="23" spans="1:18" ht="12" x14ac:dyDescent="0.2">
      <c r="A23" s="163" t="s">
        <v>294</v>
      </c>
      <c r="B23" s="163" t="s">
        <v>265</v>
      </c>
      <c r="C23" s="90" t="s">
        <v>205</v>
      </c>
      <c r="D23" s="90" t="s">
        <v>172</v>
      </c>
      <c r="E23" s="154">
        <v>3</v>
      </c>
      <c r="F23" s="154">
        <v>2</v>
      </c>
      <c r="G23" s="91">
        <v>18</v>
      </c>
      <c r="H23" s="91">
        <v>25</v>
      </c>
      <c r="I23" s="163">
        <v>25</v>
      </c>
      <c r="J23" s="163">
        <v>19</v>
      </c>
      <c r="K23" s="91">
        <v>22</v>
      </c>
      <c r="L23" s="91">
        <v>25</v>
      </c>
      <c r="M23" s="163">
        <v>25</v>
      </c>
      <c r="N23" s="163">
        <v>18</v>
      </c>
      <c r="O23" s="91">
        <v>15</v>
      </c>
      <c r="P23" s="91">
        <v>11</v>
      </c>
      <c r="Q23" s="163">
        <f>G23+I23+K23+M23+O23</f>
        <v>105</v>
      </c>
      <c r="R23" s="163">
        <f>H23+J23+L23+N23+P23</f>
        <v>98</v>
      </c>
    </row>
  </sheetData>
  <sheetProtection selectLockedCells="1" selectUnlockedCells="1"/>
  <sortState ref="U4:AL8">
    <sortCondition descending="1" ref="V4:V8"/>
    <sortCondition descending="1" ref="AC4:AC8"/>
    <sortCondition descending="1" ref="AF4:AF8"/>
  </sortState>
  <mergeCells count="15">
    <mergeCell ref="AG2:AL2"/>
    <mergeCell ref="E3:F3"/>
    <mergeCell ref="G3:H3"/>
    <mergeCell ref="I3:J3"/>
    <mergeCell ref="K3:L3"/>
    <mergeCell ref="M3:N3"/>
    <mergeCell ref="O3:P3"/>
    <mergeCell ref="Q3:R3"/>
    <mergeCell ref="A1:AF1"/>
    <mergeCell ref="C2:D2"/>
    <mergeCell ref="E2:F2"/>
    <mergeCell ref="G2:R2"/>
    <mergeCell ref="W2:Z2"/>
    <mergeCell ref="AA2:AC2"/>
    <mergeCell ref="AD2:A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opLeftCell="E2" zoomScale="110" zoomScaleNormal="110" workbookViewId="0">
      <selection activeCell="Q13" sqref="Q13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10" t="s">
        <v>325</v>
      </c>
      <c r="B4" s="163" t="s">
        <v>170</v>
      </c>
      <c r="C4" s="92" t="s">
        <v>174</v>
      </c>
      <c r="D4" s="90" t="s">
        <v>369</v>
      </c>
      <c r="E4" s="154">
        <v>3</v>
      </c>
      <c r="F4" s="154">
        <v>0</v>
      </c>
      <c r="G4" s="91">
        <v>25</v>
      </c>
      <c r="H4" s="91">
        <v>13</v>
      </c>
      <c r="I4" s="163">
        <v>25</v>
      </c>
      <c r="J4" s="163">
        <v>16</v>
      </c>
      <c r="K4" s="91">
        <v>25</v>
      </c>
      <c r="L4" s="91">
        <v>16</v>
      </c>
      <c r="M4" s="163">
        <v>0</v>
      </c>
      <c r="N4" s="163">
        <v>0</v>
      </c>
      <c r="O4" s="91">
        <v>0</v>
      </c>
      <c r="P4" s="91">
        <v>0</v>
      </c>
      <c r="Q4" s="163">
        <f>G4+I4+K4+M4+O4</f>
        <v>75</v>
      </c>
      <c r="R4" s="163">
        <f>H4+J4+L4+N4+P4</f>
        <v>45</v>
      </c>
      <c r="T4" s="162">
        <v>1</v>
      </c>
      <c r="U4" s="162" t="s">
        <v>174</v>
      </c>
      <c r="V4" s="99">
        <f>AG4*3+AH4*3+AI4*2+AJ4*1</f>
        <v>23</v>
      </c>
      <c r="W4" s="104">
        <f>X4+Y4+Z4</f>
        <v>8</v>
      </c>
      <c r="X4" s="104">
        <f>COUNTIF($E$4,"=3")+COUNTIF($F$6,"=3")+COUNTIF($F$7,"=3")+COUNTIF($E$9,"=3")+COUNTIF($E$10,"=3")+COUNTIF($F$12,"=3")+COUNTIF($F$13,"=3")+COUNTIF($E$15,"=3")</f>
        <v>8</v>
      </c>
      <c r="Y4" s="103">
        <f>SUM(IF($E$4&lt;$F$4,1,0))+SUM(IF($F$6&lt;$E$6,1,0))+SUM(IF($F$7&lt;$E$7,1,0))+SUM(IF($E$9&lt;$F$9,1,0))+SUM(IF($E$10&lt;$F$10,1,0))+SUM(IF($F$12&lt;$E$12,1,0))+SUM(IF($F$13&lt;$E$13,1,0))+SUM(IF($E$15&lt;$F$15,1,0))</f>
        <v>0</v>
      </c>
      <c r="Z4" s="101"/>
      <c r="AA4" s="93">
        <f>$E$4+$F$6+$F$7+$E$9+$E$10+$F$12+$F$13+$E$15</f>
        <v>24</v>
      </c>
      <c r="AB4" s="93">
        <f>$F$4+$E$6+$E$7+$F$9+$F$10+$E$12+$E$13+$F$15</f>
        <v>2</v>
      </c>
      <c r="AC4" s="163">
        <f>IF(AB4=0,"MAX",AA4/AB4)</f>
        <v>12</v>
      </c>
      <c r="AD4" s="93">
        <f>$Q$4+$R$6+$R$7+$Q$9+$Q$10+$R$12+$R$13+$Q$15</f>
        <v>636</v>
      </c>
      <c r="AE4" s="93">
        <f>$R$4+$Q$6+$Q$7+$R$9+$R$10+$Q$12+$Q$13+$R$15</f>
        <v>405</v>
      </c>
      <c r="AF4" s="163">
        <f>IF(AE4=0,"MAX",AD4/AE4)</f>
        <v>1.5703703703703704</v>
      </c>
      <c r="AG4" s="163">
        <f>SUM(IF(AND($E$4=3,$F$4=0),1,0))+SUM(IF(AND($F$6=3,$E$6=0),1,0))+SUM(IF(AND($F$7=3,$E$7=0),1,0))+SUM(IF(AND($E$9=3,$F$9=0),1,0))+SUM(IF(AND($E$10=3,$F$10=0),1,0))+SUM(IF(AND($F$12=3,$E$12=0),1,0))+SUM(IF(AND($F$13=3,$E$13=0),1,0))+SUM(IF(AND($E$15=3,$F$15=0),1,0))</f>
        <v>7</v>
      </c>
      <c r="AH4" s="171">
        <f>SUM(IF(AND($E$4=3,$F$4=1),1,0))+SUM(IF(AND($F$6=3,$E$6=1),1,0))+SUM(IF(AND($F$7=3,$E$7=1),1,0))+SUM(IF(AND($E$9=3,$F$9=1),1,0))+SUM(IF(AND($E$10=3,$F$10=1),1,0))+SUM(IF(AND($F$12=3,$E$12=1),1,0))+SUM(IF(AND($F$13=3,$E$13=1),1,0))+SUM(IF(AND($E$15=3,$F$15=1),1,0))</f>
        <v>0</v>
      </c>
      <c r="AI4" s="171">
        <f>SUM(IF(AND($E$4=3,$F$4=2),1,0))+SUM(IF(AND($F$6=3,$E$6=2),1,0))+SUM(IF(AND($F$7=3,$E$7=2),1,0))+SUM(IF(AND($E$9=3,$F$9=2),1,0))+SUM(IF(AND($E$10=3,$F$10=2),1,0))+SUM(IF(AND($F$12=3,$E$12=2),1,0))+SUM(IF(AND($F$13=3,$E$13=2),1,0))+SUM(IF(AND($E$15=3,$F$15=2),1,0))</f>
        <v>1</v>
      </c>
      <c r="AJ4" s="171">
        <f>SUM(IF(AND($E$4=2,$F$4=3),1,0))+SUM(IF(AND($F$6=2,$E$6=3),1,0))+SUM(IF(AND($F$7=2,$E$7=3),1,0))+SUM(IF(AND($E$9=2,$F$9=3),1,0))+SUM(IF(AND($E$10=2,$F$10=3),1,0))+SUM(IF(AND($F$12=2,$E$12=3),1,0))+SUM(IF(AND($F$13=2,$E$13=3),1,0))+SUM(IF(AND($E$15=2,$F$15=3),1,0))</f>
        <v>0</v>
      </c>
      <c r="AK4" s="171">
        <f>SUM(IF(AND($E$4=1,$F$4=3),1,0))+SUM(IF(AND($F$6=1,$E$6=3),1,0))+SUM(IF(AND($F$7=1,$E$7=3),1,0))+SUM(IF(AND($E$9=1,$F$9=3),1,0))+SUM(IF(AND($E$10=1,$F$10=3),1,0))+SUM(IF(AND($F$12=1,$E$12=3),1,0))+SUM(IF(AND($F$13=1,$E$13=3),1,0))+SUM(IF(AND($E$15=1,$F$15=3),1,0))</f>
        <v>0</v>
      </c>
      <c r="AL4" s="171">
        <f>SUM(IF(AND($E$4=0,$F$4=3),1,0))+SUM(IF(AND($F$6=0,$E$6=3),1,0))+SUM(IF(AND($F$7=0,$E$7=3),1,0))+SUM(IF(AND($E$9=0,$F$9=3),1,0))+SUM(IF(AND($E$10=0,$F$10=3),1,0))+SUM(IF(AND($F$12=0,$E$12=3),1,0))+SUM(IF(AND($F$13=0,$E$13=3),1,0))+SUM(IF(AND($E$15=0,$F$15=3),1,0))</f>
        <v>0</v>
      </c>
    </row>
    <row r="5" spans="1:38" ht="12" x14ac:dyDescent="0.2">
      <c r="A5" s="110" t="s">
        <v>326</v>
      </c>
      <c r="B5" s="163" t="s">
        <v>170</v>
      </c>
      <c r="C5" s="90" t="s">
        <v>369</v>
      </c>
      <c r="D5" s="90" t="s">
        <v>150</v>
      </c>
      <c r="E5" s="154">
        <v>0</v>
      </c>
      <c r="F5" s="154">
        <v>3</v>
      </c>
      <c r="G5" s="91">
        <v>24</v>
      </c>
      <c r="H5" s="91">
        <v>26</v>
      </c>
      <c r="I5" s="163">
        <v>14</v>
      </c>
      <c r="J5" s="163">
        <v>25</v>
      </c>
      <c r="K5" s="91">
        <v>14</v>
      </c>
      <c r="L5" s="91">
        <v>25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Q15" si="0">G5+I5+K5+M5+O5</f>
        <v>52</v>
      </c>
      <c r="R5" s="163">
        <f t="shared" ref="R5:R15" si="1">H5+J5+L5+N5+P5</f>
        <v>76</v>
      </c>
      <c r="T5" s="162">
        <v>2</v>
      </c>
      <c r="U5" s="162" t="s">
        <v>369</v>
      </c>
      <c r="V5" s="99">
        <f>AG5*3+AH5*3+AI5*2+AJ5*1</f>
        <v>9</v>
      </c>
      <c r="W5" s="104">
        <f>X5+Y5+Z5</f>
        <v>8</v>
      </c>
      <c r="X5" s="104">
        <f>COUNTIF($F$4,"=3")+COUNTIF($E$5,"=3")+COUNTIF($E$7,"=3")+COUNTIF($F$8,"=3")+COUNTIF($F$10,"=3")+COUNTIF($E$11,"=3")+COUNTIF($E$13,"=3")+COUNTIF($F$14,"=3")</f>
        <v>3</v>
      </c>
      <c r="Y5" s="103">
        <f>SUM(IF($F$4&lt;$E$4,1,0))+SUM(IF($E$5&lt;$F$5,1,0))+SUM(IF($E$7&lt;$F$7,1,0))+SUM(IF($F$8&lt;$E$8,1,0))+SUM(IF($F$10&lt;$E$10,1,0))+SUM(IF($E$11&lt;$F$11,1,0))+SUM(IF($E$13&lt;$F$13,1,0))+SUM(IF($F$14&lt;$E$14,1,0))</f>
        <v>5</v>
      </c>
      <c r="Z5" s="98"/>
      <c r="AA5" s="104">
        <f>$F$4+$E$5+$E$7+$F$8+$F$10+$E$11+$E$13+$F$14</f>
        <v>9</v>
      </c>
      <c r="AB5" s="104">
        <f>$E$4+$F$5+$F$7+$E$8+$E$10+$F$11+$F$13+$E$14</f>
        <v>16</v>
      </c>
      <c r="AC5" s="163">
        <f>IF(AB5=0,"MAX",AA5/AB5)</f>
        <v>0.5625</v>
      </c>
      <c r="AD5" s="104">
        <f>$R$4+$Q$5+$Q$7+$R$8+$R$10+$Q$11+$Q$13+$R$14</f>
        <v>465</v>
      </c>
      <c r="AE5" s="104">
        <f>$Q$4+$R$5+$R$7+$Q$8+$Q$10+$R$11+$R$13+$Q$14</f>
        <v>498</v>
      </c>
      <c r="AF5" s="163">
        <f>IF(AE5=0,"MAX",AD5/AE5)</f>
        <v>0.9337349397590361</v>
      </c>
      <c r="AG5" s="171">
        <f>SUM(IF(AND($F$4=3,$E$4=0),1,0))+SUM(IF(AND($E$5=3,$F$5=0),1,0))+SUM(IF(AND($E$7=3,$F$7=0),1,0))+SUM(IF(AND($F$8=3,$E$8=0),1,0))+SUM(IF(AND($F$10=3,$E$10=0),1,0))+SUM(IF(AND($E$11=3,$F$11=0),1,0))+SUM(IF(AND($E$13=3,$F$13=0),1,0))+SUM(IF(AND($F$14=3,$E$14=0),1,0))</f>
        <v>2</v>
      </c>
      <c r="AH5" s="171">
        <f>SUM(IF(AND($F$4=3,$E$4=1),1,0))+SUM(IF(AND($E$5=3,$F$5=1),1,0))+SUM(IF(AND($E$7=3,$F$7=1),1,0))+SUM(IF(AND($F$8=3,$E$8=1),1,0))+SUM(IF(AND($F$10=3,$E$10=1),1,0))+SUM(IF(AND($E$11=3,$F$11=1),1,0))+SUM(IF(AND($E$13=3,$F$13=1),1,0))+SUM(IF(AND($F$14=3,$E$14=1),1,0))</f>
        <v>1</v>
      </c>
      <c r="AI5" s="171">
        <f>SUM(IF(AND($F$4=3,$E$4=2),1,0))+SUM(IF(AND($E$5=3,$F$5=2),1,0))+SUM(IF(AND($E$7=3,$F$7=2),1,0))+SUM(IF(AND($F$8=3,$E$8=2),1,0))+SUM(IF(AND($F$10=3,$E$10=2),1,0))+SUM(IF(AND($E$11=3,$F$11=2),1,0))+SUM(IF(AND($E$13=3,$F$13=2),1,0))+SUM(IF(AND($F$14=3,$E$14=2),1,0))</f>
        <v>0</v>
      </c>
      <c r="AJ5" s="171">
        <f>SUM(IF(AND($F$4=2,$E$4=3),1,0))+SUM(IF(AND($E$5=2,$F$5=3),1,0))+SUM(IF(AND($E$7=2,$F$7=3),1,0))+SUM(IF(AND($F$8=2,$E$8=3),1,0))+SUM(IF(AND($F$10=2,$E$10=3),1,0))+SUM(IF(AND($E$11=2,$F$11=3),1,0))+SUM(IF(AND($E$13=2,$F$13=3),1,0))+SUM(IF(AND($F$14=2,$E$14=3),1,0))</f>
        <v>0</v>
      </c>
      <c r="AK5" s="171">
        <f>SUM(IF(AND($F$4=1,$E$4=3),1,0))+SUM(IF(AND($E$5=1,$F$5=3),1,0))+SUM(IF(AND($E$7=1,$F$7=3),1,0))+SUM(IF(AND($F$8=1,$E$8=3),1,0))+SUM(IF(AND($F$10=1,$E$10=3),1,0))+SUM(IF(AND($E$11=1,$F$11=3),1,0))+SUM(IF(AND($E$13=1,$F$13=3),1,0))+SUM(IF(AND($F$14=1,$E$14=3),1,0))</f>
        <v>0</v>
      </c>
      <c r="AL5" s="171">
        <f>SUM(IF(AND($F$4=0,$E$4=3),1,0))+SUM(IF(AND($E$5=0,$F$5=3),1,0))+SUM(IF(AND($E$7=0,$F$7=3),1,0))+SUM(IF(AND($F$8=0,$E$8=3),1,0))+SUM(IF(AND($F$10=0,$E$10=3),1,0))+SUM(IF(AND($E$11=0,$F$11=3),1,0))+SUM(IF(AND($E$13=0,$F$13=3),1,0))+SUM(IF(AND($F$14=0,$E$14=3),1,0))</f>
        <v>5</v>
      </c>
    </row>
    <row r="6" spans="1:38" ht="12" x14ac:dyDescent="0.2">
      <c r="A6" s="110" t="s">
        <v>327</v>
      </c>
      <c r="B6" s="163" t="s">
        <v>170</v>
      </c>
      <c r="C6" s="162" t="s">
        <v>150</v>
      </c>
      <c r="D6" s="90" t="s">
        <v>174</v>
      </c>
      <c r="E6" s="154">
        <v>2</v>
      </c>
      <c r="F6" s="154">
        <v>3</v>
      </c>
      <c r="G6" s="91">
        <v>25</v>
      </c>
      <c r="H6" s="91">
        <v>17</v>
      </c>
      <c r="I6" s="163">
        <v>13</v>
      </c>
      <c r="J6" s="163">
        <v>25</v>
      </c>
      <c r="K6" s="91">
        <v>13</v>
      </c>
      <c r="L6" s="91">
        <v>25</v>
      </c>
      <c r="M6" s="163">
        <v>31</v>
      </c>
      <c r="N6" s="163">
        <v>29</v>
      </c>
      <c r="O6" s="91">
        <v>5</v>
      </c>
      <c r="P6" s="91">
        <v>15</v>
      </c>
      <c r="Q6" s="163">
        <f t="shared" si="0"/>
        <v>87</v>
      </c>
      <c r="R6" s="163">
        <f t="shared" si="1"/>
        <v>111</v>
      </c>
      <c r="T6" s="162">
        <v>3</v>
      </c>
      <c r="U6" s="162" t="s">
        <v>150</v>
      </c>
      <c r="V6" s="99">
        <f>AG6*3+AH6*3+AI6*2+AJ6*1</f>
        <v>4</v>
      </c>
      <c r="W6" s="104">
        <f>X6+Y6+Z6</f>
        <v>8</v>
      </c>
      <c r="X6" s="104">
        <f>COUNTIF($F$5,"=3")+COUNTIF($E$6,"=3")+COUNTIF($E$8,"=3")+COUNTIF($F$9,"=3")+COUNTIF($F$11,"=3")+COUNTIF($E$12,"=3")+COUNTIF($E$14,"=3")+COUNTIF($F$15,"=3")</f>
        <v>1</v>
      </c>
      <c r="Y6" s="103">
        <f>SUM(IF($F$5&lt;$E$5,1,0))+SUM(IF($E$6&lt;$F$6,1,0))+SUM(IF($E$8&lt;$F$8,1,0))+SUM(IF($F$9&lt;$E$9,1,0))+SUM(IF($F$11&lt;$E$11,1,0))+SUM(IF($E$12&lt;$F$12,1,0))+SUM(IF($E$14&lt;$F$14,1,0))+SUM(IF($F$15&lt;$E$15,1,0))-1</f>
        <v>6</v>
      </c>
      <c r="Z6" s="98">
        <v>1</v>
      </c>
      <c r="AA6" s="104">
        <f>$F$5+$E$6+$E$8+$F$9+$F$11+$E$12+$E$14+$F$15</f>
        <v>6</v>
      </c>
      <c r="AB6" s="104">
        <f>$E$5+$F$6+$F$8+$E$9+$E$11+$F$12+$F$14+$E$15</f>
        <v>21</v>
      </c>
      <c r="AC6" s="163">
        <f>IF(AB6=0,"MAX",AA6/AB6)</f>
        <v>0.2857142857142857</v>
      </c>
      <c r="AD6" s="104">
        <f>$R$5+$Q$6+$Q$8+$R$9+$R$11+$Q$12+$Q$14+$R$15</f>
        <v>429</v>
      </c>
      <c r="AE6" s="104">
        <f>$Q$5+$R$6+$R$8+$Q$9+$Q$11+$R$12+$R$14+$Q$15</f>
        <v>627</v>
      </c>
      <c r="AF6" s="163">
        <f>IF(AE6=0,"MAX",AD6/AE6)</f>
        <v>0.68421052631578949</v>
      </c>
      <c r="AG6" s="171">
        <f>SUM(IF(AND($F$5=3,$E$5=0),1,0))+SUM(IF(AND($E$6=3,$F$6=0),1,0))+SUM(IF(AND($E$8=3,$F$8=0),1,0))+SUM(IF(AND($F$9=3,$E$9=0),1,0))+SUM(IF(AND($F$11=3,$E$11=0),1,0))+SUM(IF(AND($E$12=3,$F$12=0),1,0))+SUM(IF(AND($E$14=3,$F$14=0),1,0))+SUM(IF(AND($F$15=3,$E$15=0),1,0))</f>
        <v>1</v>
      </c>
      <c r="AH6" s="171">
        <f>SUM(IF(AND($F$5=3,$E$5=1),1,0))+SUM(IF(AND($E$6=3,$F$6=1),1,0))+SUM(IF(AND($E$8=3,$F$8=1),1,0))+SUM(IF(AND($F$9=3,$E$9=1),1,0))+SUM(IF(AND($F$11=3,$E$11=1),1,0))+SUM(IF(AND($E$12=3,$F$12=1),1,0))+SUM(IF(AND($E$14=3,$F$14=1),1,0))+SUM(IF(AND($F$15=3,$E$15=1),1,0))</f>
        <v>0</v>
      </c>
      <c r="AI6" s="171">
        <f>SUM(IF(AND($F$5=3,$E$5=2),1,0))+SUM(IF(AND($E$6=3,$F$6=2),1,0))+SUM(IF(AND($E$8=3,$F$8=2),1,0))+SUM(IF(AND($F$9=3,$E$9=2),1,0))+SUM(IF(AND($F$11=3,$E$11=2),1,0))+SUM(IF(AND($E$12=3,$F$12=2),1,0))+SUM(IF(AND($E$14=3,$F$14=2),1,0))+SUM(IF(AND($F$15=3,$E$15=2),1,0))</f>
        <v>0</v>
      </c>
      <c r="AJ6" s="171">
        <f>SUM(IF(AND($F$5=2,$E$5=3),1,0))+SUM(IF(AND($E$6=2,$F$6=3),1,0))+SUM(IF(AND($E$8=2,$F$8=3),1,0))+SUM(IF(AND($F$9=2,$E$9=3),1,0))+SUM(IF(AND($F$11=2,$E$11=3),1,0))+SUM(IF(AND($E$12=2,$F$12=3),1,0))+SUM(IF(AND($E$14=2,$F$14=3),1,0))+SUM(IF(AND($F$15=2,$E$15=3),1,0))</f>
        <v>1</v>
      </c>
      <c r="AK6" s="171">
        <f>SUM(IF(AND($F$5=1,$E$5=3),1,0))+SUM(IF(AND($E$6=1,$F$6=3),1,0))+SUM(IF(AND($E$8=1,$F$8=3),1,0))+SUM(IF(AND($F$9=1,$E$9=3),1,0))+SUM(IF(AND($F$11=1,$E$11=3),1,0))+SUM(IF(AND($E$12=1,$F$12=3),1,0))+SUM(IF(AND($E$14=1,$F$14=3),1,0))+SUM(IF(AND($F$15=1,$E$15=3),1,0))</f>
        <v>1</v>
      </c>
      <c r="AL6" s="171">
        <f>SUM(IF(AND($F$5=0,$E$5=3),1,0))+SUM(IF(AND($E$6=0,$F$6=3),1,0))+SUM(IF(AND($E$8=0,$F$8=3),1,0))+SUM(IF(AND($F$9=0,$E$9=3),1,0))+SUM(IF(AND($F$11=0,$E$11=3),1,0))+SUM(IF(AND($E$12=0,$F$12=3),1,0))+SUM(IF(AND($E$14=0,$F$14=3),1,0))+SUM(IF(AND($F$15=0,$E$15=3),1,0))</f>
        <v>5</v>
      </c>
    </row>
    <row r="7" spans="1:38" ht="12" x14ac:dyDescent="0.2">
      <c r="A7" s="110" t="s">
        <v>328</v>
      </c>
      <c r="B7" s="163" t="s">
        <v>265</v>
      </c>
      <c r="C7" s="90" t="s">
        <v>369</v>
      </c>
      <c r="D7" s="92" t="s">
        <v>174</v>
      </c>
      <c r="E7" s="154">
        <v>0</v>
      </c>
      <c r="F7" s="154">
        <v>3</v>
      </c>
      <c r="G7" s="91">
        <v>16</v>
      </c>
      <c r="H7" s="91">
        <v>25</v>
      </c>
      <c r="I7" s="163">
        <v>11</v>
      </c>
      <c r="J7" s="163">
        <v>25</v>
      </c>
      <c r="K7" s="91">
        <v>18</v>
      </c>
      <c r="L7" s="91">
        <v>25</v>
      </c>
      <c r="M7" s="163">
        <v>0</v>
      </c>
      <c r="N7" s="163">
        <v>0</v>
      </c>
      <c r="O7" s="91">
        <v>0</v>
      </c>
      <c r="P7" s="91">
        <v>0</v>
      </c>
      <c r="Q7" s="163">
        <f t="shared" si="0"/>
        <v>45</v>
      </c>
      <c r="R7" s="163">
        <f t="shared" si="1"/>
        <v>75</v>
      </c>
    </row>
    <row r="8" spans="1:38" ht="12" x14ac:dyDescent="0.2">
      <c r="A8" s="110" t="s">
        <v>329</v>
      </c>
      <c r="B8" s="163" t="s">
        <v>265</v>
      </c>
      <c r="C8" s="90" t="s">
        <v>150</v>
      </c>
      <c r="D8" s="92" t="s">
        <v>369</v>
      </c>
      <c r="E8" s="154">
        <v>1</v>
      </c>
      <c r="F8" s="154">
        <v>3</v>
      </c>
      <c r="G8" s="91">
        <v>25</v>
      </c>
      <c r="H8" s="91">
        <v>14</v>
      </c>
      <c r="I8" s="163">
        <v>21</v>
      </c>
      <c r="J8" s="163">
        <v>25</v>
      </c>
      <c r="K8" s="91">
        <v>22</v>
      </c>
      <c r="L8" s="91">
        <v>25</v>
      </c>
      <c r="M8" s="163">
        <v>21</v>
      </c>
      <c r="N8" s="163">
        <v>25</v>
      </c>
      <c r="O8" s="91">
        <v>0</v>
      </c>
      <c r="P8" s="91">
        <v>0</v>
      </c>
      <c r="Q8" s="163">
        <f t="shared" si="0"/>
        <v>89</v>
      </c>
      <c r="R8" s="163">
        <f t="shared" si="1"/>
        <v>89</v>
      </c>
      <c r="U8" s="217" t="s">
        <v>360</v>
      </c>
    </row>
    <row r="9" spans="1:38" ht="12" x14ac:dyDescent="0.2">
      <c r="A9" s="110" t="s">
        <v>330</v>
      </c>
      <c r="B9" s="163" t="s">
        <v>265</v>
      </c>
      <c r="C9" s="90" t="s">
        <v>174</v>
      </c>
      <c r="D9" s="92" t="s">
        <v>150</v>
      </c>
      <c r="E9" s="154">
        <v>3</v>
      </c>
      <c r="F9" s="154">
        <v>0</v>
      </c>
      <c r="G9" s="91">
        <v>25</v>
      </c>
      <c r="H9" s="91">
        <v>13</v>
      </c>
      <c r="I9" s="163">
        <v>25</v>
      </c>
      <c r="J9" s="163">
        <v>10</v>
      </c>
      <c r="K9" s="91">
        <v>25</v>
      </c>
      <c r="L9" s="91">
        <v>20</v>
      </c>
      <c r="M9" s="163">
        <v>0</v>
      </c>
      <c r="N9" s="163">
        <v>0</v>
      </c>
      <c r="O9" s="91">
        <v>0</v>
      </c>
      <c r="P9" s="91">
        <v>0</v>
      </c>
      <c r="Q9" s="163">
        <f t="shared" si="0"/>
        <v>75</v>
      </c>
      <c r="R9" s="163">
        <f t="shared" si="1"/>
        <v>43</v>
      </c>
      <c r="U9" s="218" t="s">
        <v>174</v>
      </c>
    </row>
    <row r="10" spans="1:38" ht="12" x14ac:dyDescent="0.2">
      <c r="A10" s="110" t="s">
        <v>331</v>
      </c>
      <c r="B10" s="163" t="s">
        <v>308</v>
      </c>
      <c r="C10" s="92" t="s">
        <v>174</v>
      </c>
      <c r="D10" s="90" t="s">
        <v>369</v>
      </c>
      <c r="E10" s="154">
        <v>3</v>
      </c>
      <c r="F10" s="154">
        <v>0</v>
      </c>
      <c r="G10" s="91">
        <v>25</v>
      </c>
      <c r="H10" s="91">
        <v>10</v>
      </c>
      <c r="I10" s="163">
        <v>25</v>
      </c>
      <c r="J10" s="163">
        <v>19</v>
      </c>
      <c r="K10" s="91">
        <v>25</v>
      </c>
      <c r="L10" s="91">
        <v>17</v>
      </c>
      <c r="M10" s="163">
        <v>0</v>
      </c>
      <c r="N10" s="163">
        <v>0</v>
      </c>
      <c r="O10" s="91">
        <v>0</v>
      </c>
      <c r="P10" s="91">
        <v>0</v>
      </c>
      <c r="Q10" s="163">
        <f t="shared" si="0"/>
        <v>75</v>
      </c>
      <c r="R10" s="163">
        <f t="shared" si="1"/>
        <v>46</v>
      </c>
    </row>
    <row r="11" spans="1:38" ht="12" x14ac:dyDescent="0.2">
      <c r="A11" s="110" t="s">
        <v>332</v>
      </c>
      <c r="B11" s="163" t="s">
        <v>308</v>
      </c>
      <c r="C11" s="90" t="s">
        <v>369</v>
      </c>
      <c r="D11" s="90" t="s">
        <v>150</v>
      </c>
      <c r="E11" s="154">
        <v>3</v>
      </c>
      <c r="F11" s="154">
        <v>0</v>
      </c>
      <c r="G11" s="91">
        <v>25</v>
      </c>
      <c r="H11" s="91">
        <v>0</v>
      </c>
      <c r="I11" s="163">
        <v>25</v>
      </c>
      <c r="J11" s="163">
        <v>0</v>
      </c>
      <c r="K11" s="91">
        <v>25</v>
      </c>
      <c r="L11" s="91">
        <v>0</v>
      </c>
      <c r="M11" s="163">
        <v>0</v>
      </c>
      <c r="N11" s="163">
        <v>0</v>
      </c>
      <c r="O11" s="91">
        <v>0</v>
      </c>
      <c r="P11" s="91">
        <v>0</v>
      </c>
      <c r="Q11" s="163">
        <f t="shared" si="0"/>
        <v>75</v>
      </c>
      <c r="R11" s="163">
        <f t="shared" si="1"/>
        <v>0</v>
      </c>
    </row>
    <row r="12" spans="1:38" ht="12" x14ac:dyDescent="0.2">
      <c r="A12" s="110" t="s">
        <v>333</v>
      </c>
      <c r="B12" s="163" t="s">
        <v>308</v>
      </c>
      <c r="C12" s="162" t="s">
        <v>150</v>
      </c>
      <c r="D12" s="90" t="s">
        <v>174</v>
      </c>
      <c r="E12" s="154">
        <v>0</v>
      </c>
      <c r="F12" s="154">
        <v>3</v>
      </c>
      <c r="G12" s="91">
        <v>22</v>
      </c>
      <c r="H12" s="91">
        <v>25</v>
      </c>
      <c r="I12" s="163">
        <v>18</v>
      </c>
      <c r="J12" s="163">
        <v>25</v>
      </c>
      <c r="K12" s="91">
        <v>19</v>
      </c>
      <c r="L12" s="91">
        <v>25</v>
      </c>
      <c r="M12" s="163">
        <v>0</v>
      </c>
      <c r="N12" s="163">
        <v>0</v>
      </c>
      <c r="O12" s="91">
        <v>0</v>
      </c>
      <c r="P12" s="91">
        <v>0</v>
      </c>
      <c r="Q12" s="163">
        <f t="shared" si="0"/>
        <v>59</v>
      </c>
      <c r="R12" s="163">
        <f t="shared" si="1"/>
        <v>75</v>
      </c>
    </row>
    <row r="13" spans="1:38" ht="12" x14ac:dyDescent="0.2">
      <c r="A13" s="110" t="s">
        <v>334</v>
      </c>
      <c r="B13" s="163" t="s">
        <v>335</v>
      </c>
      <c r="C13" s="90" t="s">
        <v>369</v>
      </c>
      <c r="D13" s="92" t="s">
        <v>174</v>
      </c>
      <c r="E13" s="154">
        <v>0</v>
      </c>
      <c r="F13" s="154">
        <v>3</v>
      </c>
      <c r="G13" s="91">
        <v>8</v>
      </c>
      <c r="H13" s="91">
        <v>25</v>
      </c>
      <c r="I13" s="163">
        <v>18</v>
      </c>
      <c r="J13" s="163">
        <v>25</v>
      </c>
      <c r="K13" s="91">
        <v>12</v>
      </c>
      <c r="L13" s="91">
        <v>25</v>
      </c>
      <c r="M13" s="163">
        <v>0</v>
      </c>
      <c r="N13" s="163">
        <v>0</v>
      </c>
      <c r="O13" s="91">
        <v>0</v>
      </c>
      <c r="P13" s="91">
        <v>0</v>
      </c>
      <c r="Q13" s="163">
        <f t="shared" si="0"/>
        <v>38</v>
      </c>
      <c r="R13" s="163">
        <f t="shared" si="1"/>
        <v>75</v>
      </c>
    </row>
    <row r="14" spans="1:38" ht="12" x14ac:dyDescent="0.2">
      <c r="A14" s="110" t="s">
        <v>336</v>
      </c>
      <c r="B14" s="163" t="s">
        <v>335</v>
      </c>
      <c r="C14" s="90" t="s">
        <v>150</v>
      </c>
      <c r="D14" s="92" t="s">
        <v>369</v>
      </c>
      <c r="E14" s="154">
        <v>0</v>
      </c>
      <c r="F14" s="154">
        <v>3</v>
      </c>
      <c r="G14" s="91">
        <v>8</v>
      </c>
      <c r="H14" s="91">
        <v>25</v>
      </c>
      <c r="I14" s="163">
        <v>11</v>
      </c>
      <c r="J14" s="163">
        <v>25</v>
      </c>
      <c r="K14" s="91">
        <v>14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0"/>
        <v>33</v>
      </c>
      <c r="R14" s="163">
        <f t="shared" si="1"/>
        <v>75</v>
      </c>
    </row>
    <row r="15" spans="1:38" ht="12" x14ac:dyDescent="0.2">
      <c r="A15" s="110" t="s">
        <v>337</v>
      </c>
      <c r="B15" s="163" t="s">
        <v>335</v>
      </c>
      <c r="C15" s="90" t="s">
        <v>174</v>
      </c>
      <c r="D15" s="92" t="s">
        <v>150</v>
      </c>
      <c r="E15" s="154">
        <v>3</v>
      </c>
      <c r="F15" s="154">
        <v>0</v>
      </c>
      <c r="G15" s="91">
        <v>25</v>
      </c>
      <c r="H15" s="91">
        <v>12</v>
      </c>
      <c r="I15" s="163">
        <v>25</v>
      </c>
      <c r="J15" s="163">
        <v>13</v>
      </c>
      <c r="K15" s="91">
        <v>25</v>
      </c>
      <c r="L15" s="91">
        <v>17</v>
      </c>
      <c r="M15" s="163">
        <v>0</v>
      </c>
      <c r="N15" s="163">
        <v>0</v>
      </c>
      <c r="O15" s="91">
        <v>0</v>
      </c>
      <c r="P15" s="91">
        <v>0</v>
      </c>
      <c r="Q15" s="163">
        <f t="shared" si="0"/>
        <v>75</v>
      </c>
      <c r="R15" s="163">
        <f t="shared" si="1"/>
        <v>42</v>
      </c>
    </row>
  </sheetData>
  <sheetProtection selectLockedCells="1" selectUnlockedCells="1"/>
  <sortState ref="U4:AL6">
    <sortCondition descending="1" ref="V4:V6"/>
    <sortCondition descending="1" ref="AC4:AC6"/>
    <sortCondition descending="1" ref="AF4:AF6"/>
  </sortState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showGridLines="0" topLeftCell="A2" zoomScaleNormal="100" workbookViewId="0">
      <selection activeCell="AF17" sqref="AF17"/>
    </sheetView>
  </sheetViews>
  <sheetFormatPr defaultColWidth="11.42578125" defaultRowHeight="12.75" x14ac:dyDescent="0.2"/>
  <cols>
    <col min="1" max="1" width="8.425781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10" t="s">
        <v>338</v>
      </c>
      <c r="B4" s="163" t="s">
        <v>170</v>
      </c>
      <c r="C4" s="162" t="s">
        <v>149</v>
      </c>
      <c r="D4" s="90" t="s">
        <v>369</v>
      </c>
      <c r="E4" s="154">
        <v>0</v>
      </c>
      <c r="F4" s="154">
        <v>3</v>
      </c>
      <c r="G4" s="91">
        <v>23</v>
      </c>
      <c r="H4" s="91">
        <v>25</v>
      </c>
      <c r="I4" s="163">
        <v>19</v>
      </c>
      <c r="J4" s="163">
        <v>25</v>
      </c>
      <c r="K4" s="91">
        <v>18</v>
      </c>
      <c r="L4" s="91">
        <v>25</v>
      </c>
      <c r="M4" s="163">
        <v>0</v>
      </c>
      <c r="N4" s="163">
        <v>0</v>
      </c>
      <c r="O4" s="91">
        <v>0</v>
      </c>
      <c r="P4" s="91">
        <v>0</v>
      </c>
      <c r="Q4" s="163">
        <f>G4+I4+K4+M4+O4</f>
        <v>60</v>
      </c>
      <c r="R4" s="163">
        <f>H4+J4+L4+N4+P4</f>
        <v>75</v>
      </c>
      <c r="T4" s="162">
        <v>1</v>
      </c>
      <c r="U4" s="170" t="s">
        <v>174</v>
      </c>
      <c r="V4" s="99">
        <f>AG4*3+AH4*3+AI4*2+AJ4*1</f>
        <v>23</v>
      </c>
      <c r="W4" s="104">
        <f>X4+Y4+Z4</f>
        <v>9</v>
      </c>
      <c r="X4" s="104">
        <f>COUNTIF($E$5,"=3")+COUNTIF($F$7,"=3")+COUNTIF($F$8,"=3")+COUNTIF($E$11,"=3")+COUNTIF($F$13,"=3")+COUNTIF($F$14,"=3")+COUNTIF($E$17,"=3")+COUNTIF($F$19,"=3")+COUNTIF($F$20,"=3")</f>
        <v>8</v>
      </c>
      <c r="Y4" s="103">
        <f>SUM(IF($E$5&lt;$F$5,1,0))+SUM(IF($F$7&lt;$E$7,1,0))+SUM(IF($F$8&lt;$E$8,1,0))+SUM(IF($E$11&lt;$F$11,1,0))+SUM(IF($F$13&lt;$E$13,1,0))+SUM(IF($F$14&lt;$E$14,1,0))+SUM(IF($E$17&lt;$F$17,1,0))+SUM(IF($F$19&lt;$E$19,1,0))+SUM(IF($F$20&lt;$E$20,1,0))</f>
        <v>1</v>
      </c>
      <c r="Z4" s="98"/>
      <c r="AA4" s="104">
        <f>$E$5+$F$7+$F$8+$E$11+$F$13+$F$14+$E$17+$F$19+$F$20</f>
        <v>24</v>
      </c>
      <c r="AB4" s="104">
        <f>$F$5+$E$7+$E$8+$F$11+$E$13+$E$14+$F$17+$E$19+$E$20</f>
        <v>6</v>
      </c>
      <c r="AC4" s="163">
        <f>IF(AB4=0,"MAX",AA4/AB4)</f>
        <v>4</v>
      </c>
      <c r="AD4" s="104">
        <f>$Q$5+$R$7+$R$8+$Q$11+$R$13+$R$14+$Q$17+$R$19+$R$20</f>
        <v>706</v>
      </c>
      <c r="AE4" s="104">
        <f>$R$5+$Q$7+$Q$8+$R$11+$Q$13+$Q$14+$R$17+$Q$19+$Q$20</f>
        <v>513</v>
      </c>
      <c r="AF4" s="163">
        <f>IF(AE4=0,"MAX",AD4/AE4)</f>
        <v>1.3762183235867447</v>
      </c>
      <c r="AG4" s="163">
        <f>SUM(IF(AND($E$5=3,$F$5=0),1,0))+SUM(IF(AND($F$7=3,$E$7=0),1,0))+SUM(IF(AND($F$8=3,$E$8=0),1,0))+SUM(IF(AND($E$11=3,$F$11=0),1,0))+SUM(IF(AND($F$13=3,$E$13=0),1,0))+SUM(IF(AND($F$14=3,$E$14=0),1,0))+SUM(IF(AND($E$17=3,$F$17=0),1,0))+SUM(IF(AND($F$19=3,$E$19=0),1,0))+SUM(IF(AND($F$20=3,$E$20=0),1,0))</f>
        <v>6</v>
      </c>
      <c r="AH4" s="171">
        <f>SUM(IF(AND($E$5=3,$F$5=1),1,0))+SUM(IF(AND($F$7=3,$E$7=1),1,0))+SUM(IF(AND($F$8=3,$E$8=1),1,0))+SUM(IF(AND($E$11=3,$F$11=1),1,0))+SUM(IF(AND($F$13=3,$E$13=1),1,0))+SUM(IF(AND($F$14=3,$E$14=1),1,0))+SUM(IF(AND($E$17=3,$F$17=1),1,0))+SUM(IF(AND($F$19=3,$E$19=1),1,0))+SUM(IF(AND($F$20=3,$E$20=1),1,0))</f>
        <v>1</v>
      </c>
      <c r="AI4" s="171">
        <f>SUM(IF(AND($E$5=3,$F$5=2),1,0))+SUM(IF(AND($F$7=3,$E$7=2),1,0))+SUM(IF(AND($F$8=3,$E$8=2),1,0))+SUM(IF(AND($E$11=3,$F$11=2),1,0))+SUM(IF(AND($F$13=3,$E$13=2),1,0))+SUM(IF(AND($F$14=3,$E$14=2),1,0))+SUM(IF(AND($E$17=3,$F$17=2),1,0))+SUM(IF(AND($F$19=3,$E$19=2),1,0))+SUM(IF(AND($F$20=3,$E$20=2),1,0))</f>
        <v>1</v>
      </c>
      <c r="AJ4" s="171">
        <f>SUM(IF(AND($E$5=2,$F$5=3),1,0))+SUM(IF(AND($F$7=2,$E$7=3),1,0))+SUM(IF(AND($F$8=2,$E$8=3),1,0))+SUM(IF(AND($E$11=2,$F$11=3),1,0))+SUM(IF(AND($F$13=2,$E$13=3),1,0))+SUM(IF(AND($F$14=2,$E$14=3),1,0))+SUM(IF(AND($E$17=2,$F$17=3),1,0))+SUM(IF(AND($F$19=2,$E$19=3),1,0))+SUM(IF(AND($F$20=2,$E$20=3),1,0))</f>
        <v>0</v>
      </c>
      <c r="AK4" s="171">
        <f>SUM(IF(AND($E$5=1,$F$5=3),1,0))+SUM(IF(AND($F$7=1,$E$7=3),1,0))+SUM(IF(AND($F$8=1,$E$8=3),1,0))+SUM(IF(AND($E$11=1,$F$11=3),1,0))+SUM(IF(AND($F$13=1,$E$13=3),1,0))+SUM(IF(AND($F$14=1,$E$14=3),1,0))+SUM(IF(AND($E$17=1,$F$17=3),1,0))+SUM(IF(AND($F$19=1,$E$19=3),1,0))+SUM(IF(AND($F$20=1,$E$20=3),1,0))</f>
        <v>0</v>
      </c>
      <c r="AL4" s="171">
        <f>SUM(IF(AND($E$5=0,$F$5=3),1,0))+SUM(IF(AND($F$7=0,$E$7=3),1,0))+SUM(IF(AND($F$8=0,$E$8=3),1,0))+SUM(IF(AND($E$11=0,$F$11=3),1,0))+SUM(IF(AND($F$13=0,$E$13=3),1,0))+SUM(IF(AND($F$14=0,$E$14=3),1,0))+SUM(IF(AND($E$17=0,$F$17=3),1,0))+SUM(IF(AND($F$19=0,$E$19=3),1,0))+SUM(IF(AND($F$20=0,$E$20=3),1,0))</f>
        <v>1</v>
      </c>
    </row>
    <row r="5" spans="1:38" ht="12" x14ac:dyDescent="0.2">
      <c r="A5" s="110" t="s">
        <v>339</v>
      </c>
      <c r="B5" s="163" t="s">
        <v>170</v>
      </c>
      <c r="C5" s="90" t="s">
        <v>174</v>
      </c>
      <c r="D5" s="90" t="s">
        <v>150</v>
      </c>
      <c r="E5" s="154">
        <v>0</v>
      </c>
      <c r="F5" s="154">
        <v>3</v>
      </c>
      <c r="G5" s="91">
        <v>22</v>
      </c>
      <c r="H5" s="91">
        <v>25</v>
      </c>
      <c r="I5" s="163">
        <v>22</v>
      </c>
      <c r="J5" s="163">
        <v>25</v>
      </c>
      <c r="K5" s="91">
        <v>15</v>
      </c>
      <c r="L5" s="91">
        <v>25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Q21" si="0">G5+I5+K5+M5+O5</f>
        <v>59</v>
      </c>
      <c r="R5" s="163">
        <f t="shared" ref="R5:R21" si="1">H5+J5+L5+N5+P5</f>
        <v>75</v>
      </c>
      <c r="T5" s="162">
        <v>2</v>
      </c>
      <c r="U5" s="162" t="s">
        <v>150</v>
      </c>
      <c r="V5" s="99">
        <f>AG5*3+AH5*3+AI5*2+AJ5*1</f>
        <v>17</v>
      </c>
      <c r="W5" s="104">
        <f>X5+Y5+Z5</f>
        <v>9</v>
      </c>
      <c r="X5" s="104">
        <f>COUNTIF($F$5,"=3")+COUNTIF($E$6,"=3")+COUNTIF($F$9,"=3")+COUNTIF($F$11,"=3")+COUNTIF($E$12,"=3")+COUNTIF($F$15,"=3")+COUNTIF($F$17,"=3")+COUNTIF($E$18,"=3")+COUNTIF($F$21,"=3")</f>
        <v>6</v>
      </c>
      <c r="Y5" s="103">
        <f>SUM(IF($F$5&lt;$E$5,1,0))+SUM(IF($E$6&lt;$F$6,1,0))+SUM(IF($F$9&lt;$E$9,1,0))+SUM(IF($F$11&lt;$E$11,1,0))+SUM(IF($E$12&lt;$F$12,1,0))+SUM(IF($F$15&lt;$E$15,1,0))+SUM(IF($F$17&lt;$E$17,1,0))+SUM(IF($E$18&lt;$F$18,1,0))+SUM(IF($F$21&lt;$E$21,1,0))</f>
        <v>3</v>
      </c>
      <c r="Z5" s="98"/>
      <c r="AA5" s="104">
        <f>$F$5+$E$6+$F$9+$F$11+$E$12+$F$15+$F$17+$E$18+$F$21</f>
        <v>21</v>
      </c>
      <c r="AB5" s="104">
        <f>$E$5+$F$6+$E$9+$E$11+$F$12+$E$15+$E$17+$F$18+$E$21</f>
        <v>13</v>
      </c>
      <c r="AC5" s="163">
        <f>IF(AB5=0,"MAX",AA5/AB5)</f>
        <v>1.6153846153846154</v>
      </c>
      <c r="AD5" s="104">
        <f>$R$5+$Q$6+$R$9+$R$11+$Q$12+$R$15+$R$17+$Q$18+$R$21</f>
        <v>694</v>
      </c>
      <c r="AE5" s="104">
        <f>$Q$5+$R$6+$Q$9+$Q$11+$R$12+$Q$15+$Q$17+$R$18+$Q$21</f>
        <v>693</v>
      </c>
      <c r="AF5" s="163">
        <f>IF(AE5=0,"MAX",AD5/AE5)</f>
        <v>1.0014430014430014</v>
      </c>
      <c r="AG5" s="171">
        <f>SUM(IF(AND($F$5=3,$E$5=0),1,0))+SUM(IF(AND($E$6=3,$F$6=0),1,0))+SUM(IF(AND($F$9=3,$E$9=0),1,0))+SUM(IF(AND($F$11=3,$E$11=0),1,0))+SUM(IF(AND($E$12=3,$F$12=0),1,0))+SUM(IF(AND($F$15=3,$E$15=0),1,0))+SUM(IF(AND($F$17=3,$E$17=0),1,0))+SUM(IF(AND($E$18=3,$F$18=0),1,0))+SUM(IF(AND($F$21=3,$E$21=0),1,0))</f>
        <v>4</v>
      </c>
      <c r="AH5" s="171">
        <f>SUM(IF(AND($F$5=3,$E$5=1),1,0))+SUM(IF(AND($E$6=3,$F$6=1),1,0))+SUM(IF(AND($F$9=3,$E$9=1),1,0))+SUM(IF(AND($F$11=3,$E$11=1),1,0))+SUM(IF(AND($E$12=3,$F$12=1),1,0))+SUM(IF(AND($F$15=3,$E$15=1),1,0))+SUM(IF(AND($F$17=3,$E$17=1),1,0))+SUM(IF(AND($E$18=3,$F$18=1),1,0))+SUM(IF(AND($F$21=3,$E$21=1),1,0))</f>
        <v>0</v>
      </c>
      <c r="AI5" s="171">
        <f>SUM(IF(AND($F$5=3,$E$5=2),1,0))+SUM(IF(AND($E$6=3,$F$6=2),1,0))+SUM(IF(AND($F$9=3,$E$9=2),1,0))+SUM(IF(AND($F$11=3,$E$11=2),1,0))+SUM(IF(AND($E$12=3,$F$12=2),1,0))+SUM(IF(AND($F$15=3,$E$15=2),1,0))+SUM(IF(AND($F$17=3,$E$17=2),1,0))+SUM(IF(AND($E$18=3,$F$18=2),1,0))+SUM(IF(AND($F$21=3,$E$21=2),1,0))</f>
        <v>2</v>
      </c>
      <c r="AJ5" s="171">
        <f>SUM(IF(AND($F$5=2,$E$5=3),1,0))+SUM(IF(AND($E$6=2,$F$6=3),1,0))+SUM(IF(AND($F$9=2,$E$9=3),1,0))+SUM(IF(AND($F$11=2,$E$11=3),1,0))+SUM(IF(AND($E$12=2,$F$12=3),1,0))+SUM(IF(AND($F$15=2,$E$15=3),1,0))+SUM(IF(AND($F$17=2,$E$17=3),1,0))+SUM(IF(AND($E$18=2,$F$18=3),1,0))+SUM(IF(AND($F$21=2,$E$21=3),1,0))</f>
        <v>1</v>
      </c>
      <c r="AK5" s="171">
        <f>SUM(IF(AND($F$5=1,$E$5=3),1,0))+SUM(IF(AND($E$6=1,$F$6=3),1,0))+SUM(IF(AND($F$9=1,$E$9=3),1,0))+SUM(IF(AND($F$11=1,$E$11=3),1,0))+SUM(IF(AND($E$12=1,$F$12=3),1,0))+SUM(IF(AND($F$15=1,$E$15=3),1,0))+SUM(IF(AND($F$17=1,$E$17=3),1,0))+SUM(IF(AND($E$18=1,$F$18=3),1,0))+SUM(IF(AND($F$21=1,$E$21=3),1,0))</f>
        <v>1</v>
      </c>
      <c r="AL5" s="171">
        <f>SUM(IF(AND($F$5=0,$E$5=3),1,0))+SUM(IF(AND($E$6=0,$F$6=3),1,0))+SUM(IF(AND($F$9=0,$E$9=3),1,0))+SUM(IF(AND($F$11=0,$E$11=3),1,0))+SUM(IF(AND($E$12=0,$F$12=3),1,0))+SUM(IF(AND($F$15=0,$E$15=3),1,0))+SUM(IF(AND($F$17=0,$E$17=3),1,0))+SUM(IF(AND($E$18=0,$F$18=3),1,0))+SUM(IF(AND($F$21=0,$E$21=3),1,0))</f>
        <v>1</v>
      </c>
    </row>
    <row r="6" spans="1:38" ht="12" x14ac:dyDescent="0.2">
      <c r="A6" s="110" t="s">
        <v>340</v>
      </c>
      <c r="B6" s="163" t="s">
        <v>170</v>
      </c>
      <c r="C6" s="162" t="s">
        <v>150</v>
      </c>
      <c r="D6" s="90" t="s">
        <v>149</v>
      </c>
      <c r="E6" s="154">
        <v>3</v>
      </c>
      <c r="F6" s="154">
        <v>0</v>
      </c>
      <c r="G6" s="91">
        <v>25</v>
      </c>
      <c r="H6" s="91">
        <v>21</v>
      </c>
      <c r="I6" s="163">
        <v>25</v>
      </c>
      <c r="J6" s="163">
        <v>9</v>
      </c>
      <c r="K6" s="91">
        <v>25</v>
      </c>
      <c r="L6" s="91">
        <v>8</v>
      </c>
      <c r="M6" s="163">
        <v>0</v>
      </c>
      <c r="N6" s="163">
        <v>0</v>
      </c>
      <c r="O6" s="91">
        <v>0</v>
      </c>
      <c r="P6" s="91">
        <v>0</v>
      </c>
      <c r="Q6" s="163">
        <f t="shared" si="0"/>
        <v>75</v>
      </c>
      <c r="R6" s="163">
        <f t="shared" si="1"/>
        <v>38</v>
      </c>
      <c r="T6" s="162">
        <v>3</v>
      </c>
      <c r="U6" s="162" t="s">
        <v>369</v>
      </c>
      <c r="V6" s="99">
        <f>AG6*3+AH6*3+AI6*2+AJ6*1</f>
        <v>12</v>
      </c>
      <c r="W6" s="104">
        <f>X6+Y6+Z6</f>
        <v>9</v>
      </c>
      <c r="X6" s="104">
        <f>COUNTIF($F$4,"=3")+COUNTIF($E$7,"=3")+COUNTIF($E$9,"=3")+COUNTIF($F$10,"=3")+COUNTIF($E$13,"=3")+COUNTIF($E$15,"=3")+COUNTIF($F$16,"=3")+COUNTIF($E$19,"=3")+COUNTIF($F$21,"=3")</f>
        <v>4</v>
      </c>
      <c r="Y6" s="103">
        <f>SUM(IF($F$4&lt;$E$4,1,0))+SUM(IF($E$7&lt;$F$7,1,0))+SUM(IF($E$9&lt;$F$9,1,0))+SUM(IF($F$10&lt;$E$10,1,0))+SUM(IF($E$13&lt;$F$13,1,0))+SUM(IF($E$15&lt;$F$15,1,0))+SUM(IF($F$16&lt;$E$16,1,0))+SUM(IF($E$19&lt;$F$19,1,0))+SUM(IF($F$21&lt;$E$21,1,0))</f>
        <v>5</v>
      </c>
      <c r="Z6" s="98"/>
      <c r="AA6" s="104">
        <f>$F$4+$E$7+$E$9+$F$10+$E$13+$E$15+$F$16+$E$19+$F$21</f>
        <v>14</v>
      </c>
      <c r="AB6" s="104">
        <f>$E$4+$F$7+$F$9+$E$10+$F$13+$F$15+$E$16+$F$19+$E$21</f>
        <v>18</v>
      </c>
      <c r="AC6" s="163">
        <f>IF(AB6=0,"MAX",AA6/AB6)</f>
        <v>0.77777777777777779</v>
      </c>
      <c r="AD6" s="104">
        <f>$R$4+$Q$7+$Q$9+$R$10+$Q$13+$Q$15+$R$16+$Q$19+$R$21</f>
        <v>657</v>
      </c>
      <c r="AE6" s="104">
        <f>$Q$4+$R$7+$R$9+$Q$10+$R$13+$R$15+$Q$16+$R$19+$Q$21</f>
        <v>658</v>
      </c>
      <c r="AF6" s="163">
        <f>IF(AE6=0,"MAX",AD6/AE6)</f>
        <v>0.99848024316109418</v>
      </c>
      <c r="AG6" s="171">
        <f>SUM(IF(AND($F$4=3,$E$4=0),1,0))+SUM(IF(AND($E$7=3,$F$7=0),1,0))+SUM(IF(AND($E$9=3,$F$9=0),1,0))+SUM(IF(AND($F$10=3,$E$10=0),1,0))+SUM(IF(AND($E$13=3,$F$13=0),1,0))+SUM(IF(AND($E$15=3,$F$15=0),1,0))+SUM(IF(AND($F$16=3,$E$16=0),1,0))+SUM(IF(AND($E$19=3,$F$19=0),1,0))+SUM(IF(AND($F$21=3,$E$21=0),1,0))</f>
        <v>2</v>
      </c>
      <c r="AH6" s="171">
        <f>SUM(IF(AND($F$4=3,$E$4=1),1,0))+SUM(IF(AND($E$7=3,$F$7=1),1,0))+SUM(IF(AND($E$9=3,$F$9=1),1,0))+SUM(IF(AND($F$10=3,$E$10=1),1,0))+SUM(IF(AND($E$13=3,$F$13=1),1,0))+SUM(IF(AND($E$15=3,$F$15=1),1,0))+SUM(IF(AND($F$16=3,$E$16=1),1,0))+SUM(IF(AND($E$19=3,$F$19=1),1,0))+SUM(IF(AND($F$21=3,$E$21=1),1,0))</f>
        <v>1</v>
      </c>
      <c r="AI6" s="171">
        <f>SUM(IF(AND($F$4=3,$E$4=2),1,0))+SUM(IF(AND($E$7=3,$F$7=2),1,0))+SUM(IF(AND($E$9=3,$F$9=2),1,0))+SUM(IF(AND($F$10=3,$E$10=2),1,0))+SUM(IF(AND($E$13=3,$F$13=2),1,0))+SUM(IF(AND($E$15=3,$F$15=2),1,0))+SUM(IF(AND($F$16=3,$E$16=2),1,0))+SUM(IF(AND($E$19=3,$F$19=2),1,0))+SUM(IF(AND($F$21=3,$E$21=2),1,0))</f>
        <v>1</v>
      </c>
      <c r="AJ6" s="171">
        <f>SUM(IF(AND($F$4=2,$E$4=3),1,0))+SUM(IF(AND($E$7=2,$F$7=3),1,0))+SUM(IF(AND($E$9=2,$F$9=3),1,0))+SUM(IF(AND($F$10=2,$E$10=3),1,0))+SUM(IF(AND($E$13=2,$F$13=3),1,0))+SUM(IF(AND($E$15=2,$F$15=3),1,0))+SUM(IF(AND($F$16=2,$E$16=3),1,0))+SUM(IF(AND($E$19=2,$F$19=3),1,0))+SUM(IF(AND($F$21=2,$E$21=3),1,0))</f>
        <v>1</v>
      </c>
      <c r="AK6" s="171">
        <f>SUM(IF(AND($F$4=1,$E$4=3),1,0))+SUM(IF(AND($E$7=1,$F$7=3),1,0))+SUM(IF(AND($E$9=1,$F$9=3),1,0))+SUM(IF(AND($F$10=1,$E$10=3),1,0))+SUM(IF(AND($E$13=1,$F$13=3),1,0))+SUM(IF(AND($E$15=1,$F$15=3),1,0))+SUM(IF(AND($F$16=1,$E$16=3),1,0))+SUM(IF(AND($E$19=1,$F$19=3),1,0))+SUM(IF(AND($F$21=1,$E$21=3),1,0))</f>
        <v>0</v>
      </c>
      <c r="AL6" s="171">
        <f>SUM(IF(AND($F$4=0,$E$4=3),1,0))+SUM(IF(AND($E$7=0,$F$7=3),1,0))+SUM(IF(AND($E$9=0,$F$9=3),1,0))+SUM(IF(AND($F$10=0,$E$10=3),0,0))+SUM(IF(AND($E$13=0,$F$13=3),1,0))+SUM(IF(AND($E$15=0,$F$15=3),1,0))+SUM(IF(AND($F$16=0,$E$16=3),1,0))+SUM(IF(AND($E$19=0,$F$19=3),1,0))+SUM(IF(AND($F$21=0,$E$21=3),1,0))</f>
        <v>4</v>
      </c>
    </row>
    <row r="7" spans="1:38" ht="12" x14ac:dyDescent="0.2">
      <c r="A7" s="110" t="s">
        <v>341</v>
      </c>
      <c r="B7" s="163" t="s">
        <v>170</v>
      </c>
      <c r="C7" s="90" t="s">
        <v>369</v>
      </c>
      <c r="D7" s="92" t="s">
        <v>174</v>
      </c>
      <c r="E7" s="154">
        <v>0</v>
      </c>
      <c r="F7" s="154">
        <v>3</v>
      </c>
      <c r="G7" s="91">
        <v>21</v>
      </c>
      <c r="H7" s="91">
        <v>25</v>
      </c>
      <c r="I7" s="163">
        <v>15</v>
      </c>
      <c r="J7" s="163">
        <v>25</v>
      </c>
      <c r="K7" s="91">
        <v>14</v>
      </c>
      <c r="L7" s="91">
        <v>25</v>
      </c>
      <c r="M7" s="163">
        <v>0</v>
      </c>
      <c r="N7" s="163">
        <v>0</v>
      </c>
      <c r="O7" s="91">
        <v>0</v>
      </c>
      <c r="P7" s="91">
        <v>0</v>
      </c>
      <c r="Q7" s="163">
        <f t="shared" si="0"/>
        <v>50</v>
      </c>
      <c r="R7" s="163">
        <f t="shared" si="1"/>
        <v>75</v>
      </c>
      <c r="T7" s="162">
        <v>4</v>
      </c>
      <c r="U7" s="92" t="s">
        <v>149</v>
      </c>
      <c r="V7" s="99">
        <f>AG7*3+AH7*3+AI7*2+AJ7*1</f>
        <v>5</v>
      </c>
      <c r="W7" s="104">
        <f>X7+Y7+Z7</f>
        <v>9</v>
      </c>
      <c r="X7" s="104">
        <f>COUNTIF($E$4,"=3")+COUNTIF($F$6,"=3")+COUNTIF($E$8,"=3")+COUNTIF($E$10,"=3")+COUNTIF($F$12,"=3")+COUNTIF($E$14,"=3")+COUNTIF($E$16,"=3")+COUNTIF($F$18,"=3")+COUNTIF($E$20,"=3")</f>
        <v>1</v>
      </c>
      <c r="Y7" s="103">
        <f>SUM(IF($E$4&lt;$F$4,1,0))+SUM(IF($F$6&lt;$E$6,1,0))+SUM(IF($E$8&lt;$F$8,1,0))+SUM(IF($E$10&lt;$F$10,1,0))+SUM(IF($F$12&lt;$E$12,1,0))+SUM(IF($E$14&lt;$F$14,1,0))+SUM(IF($E$16&lt;$F$16,1,0))+SUM(IF($F$18&lt;$E$18,1,0))+SUM(IF($E$20&lt;$F$20,1,0))</f>
        <v>8</v>
      </c>
      <c r="Z7" s="101"/>
      <c r="AA7" s="104">
        <f>$E$4+$F$6+$E$8+$E$10+$F$12+$E$14+$E$16+$F$18+$E$20</f>
        <v>9</v>
      </c>
      <c r="AB7" s="104">
        <f>$F$4+$E$6+$F$8+$F$10+$E$12+$F$14+$F$16+$E$18+$F$20</f>
        <v>25</v>
      </c>
      <c r="AC7" s="163">
        <f>IF(AB7=0,"MAX",AA7/AB7)</f>
        <v>0.36</v>
      </c>
      <c r="AD7" s="104">
        <f>$Q$4+$R$6+$Q$8+$Q$10+$R$12+$Q$14+$Q$16+$R$18+$Q$20</f>
        <v>661</v>
      </c>
      <c r="AE7" s="104">
        <f>$R$4+$Q$6+$R$8+$R$10+$Q$12+$R$14+$R$16+$Q$18+$R$20</f>
        <v>806</v>
      </c>
      <c r="AF7" s="163">
        <f>IF(AE7=0,"MAX",AD7/AE7)</f>
        <v>0.82009925558312657</v>
      </c>
      <c r="AG7" s="171">
        <f>SUM(IF(AND($E$4=3,$F$4=0),1,0))+SUM(IF(AND($F$6=3,$E$6=0),1,0))+SUM(IF(AND($E$8=3,$F$8=0),1,0))+SUM(IF(AND($E$10=3,$F$10=0),1,0))+SUM(IF(AND($F$12=3,$E$12=0),1,0))+SUM(IF(AND($E$14=3,$F$14=0),1,0))+SUM(IF(AND($E$16=3,$F$16=0),1,0))+SUM(IF(AND($F$18=3,$E$18=0),1,0))+SUM(IF(AND($E$20=3,$F$20=0),1,0))</f>
        <v>0</v>
      </c>
      <c r="AH7" s="171">
        <f>SUM(IF(AND($E$4=3,$F$4=1),1,0))+SUM(IF(AND($F$6=3,$E$6=1),1,0))+SUM(IF(AND($E$8=3,$F$8=1),1,0))+SUM(IF(AND($E$10=3,$F$10=1),1,0))+SUM(IF(AND($F$12=3,$E$12=1),1,0))+SUM(IF(AND($E$14=3,$F$14=1),1,0))+SUM(IF(AND($E$16=3,$F$16=1),1,0))+SUM(IF(AND($F$18=3,$E$18=1),1,0))+SUM(IF(AND($E$20=3,$F$20=1),1,0))</f>
        <v>1</v>
      </c>
      <c r="AI7" s="171">
        <f>SUM(IF(AND($E$4=3,$F$4=2),1,0))+SUM(IF(AND($F$6=3,$E$6=2),1,0))+SUM(IF(AND($E$8=3,$F$8=2),1,0))+SUM(IF(AND($E$10=3,$F$10=2),1,0))+SUM(IF(AND($F$12=3,$E$12=2),1,0))+SUM(IF(AND($E$14=3,$F$14=2),1,0))+SUM(IF(AND($E$16=3,$F$16=2),1,0))+SUM(IF(AND($F$18=3,$E$18=2),1,0))+SUM(IF(AND($E$20=3,$F$20=2),1,0))</f>
        <v>0</v>
      </c>
      <c r="AJ7" s="171">
        <f>SUM(IF(AND($E$4=2,$F$4=3),1,0))+SUM(IF(AND($F$6=2,$E$6=3),1,0))+SUM(IF(AND($E$8=2,$F$8=3),1,0))+SUM(IF(AND($E$10=2,$F$10=3),1,0))+SUM(IF(AND($F$12=2,$E$12=3),1,0))+SUM(IF(AND($E$14=2,$F$14=3),1,0))+SUM(IF(AND($E$16=2,$F$16=3),1,0))+SUM(IF(AND($F$18=2,$E$18=3),1,0))+SUM(IF(AND($E$20=2,$F$20=3),1,0))</f>
        <v>2</v>
      </c>
      <c r="AK7" s="171">
        <f>SUM(IF(AND($E$4=1,$F$4=3),1,0))+SUM(IF(AND($F$6=1,$E$6=3),1,0))+SUM(IF(AND($E$8=1,$F$8=3),1,0))+SUM(IF(AND($E$10=1,$F$10=3),1,0))+SUM(IF(AND($F$12=1,$E$12=3),1,0))+SUM(IF(AND($E$14=1,$F$14=3),1,0))+SUM(IF(AND($E$16=1,$F$16=3),1,0))+SUM(IF(AND($F$18=1,$E$18=3),1,0))+SUM(IF(AND($E$20=1,$F$20=3),1,0))</f>
        <v>2</v>
      </c>
      <c r="AL7" s="171">
        <f>SUM(IF(AND($E$4=0,$F$4=3),1,0))+SUM(IF(AND($F$6=0,$E$6=3),1,0))+SUM(IF(AND($E$8=0,$F$8=3),1,0))+SUM(IF(AND($E$10=0,$F$10=3),1,0))+SUM(IF(AND($F$12=0,$E$12=3),1,0))+SUM(IF(AND($E$14=0,$F$14=3),1,0))+SUM(IF(AND($E$16=0,$F$16=3),1,0))+SUM(IF(AND($F$18=0,$E$18=3),1,0))+SUM(IF(AND($E$20=0,$F$20=3),1,0))</f>
        <v>4</v>
      </c>
    </row>
    <row r="8" spans="1:38" ht="12" x14ac:dyDescent="0.2">
      <c r="A8" s="110" t="s">
        <v>342</v>
      </c>
      <c r="B8" s="163" t="s">
        <v>170</v>
      </c>
      <c r="C8" s="90" t="s">
        <v>149</v>
      </c>
      <c r="D8" s="92" t="s">
        <v>174</v>
      </c>
      <c r="E8" s="154">
        <v>0</v>
      </c>
      <c r="F8" s="154">
        <v>3</v>
      </c>
      <c r="G8" s="91">
        <v>17</v>
      </c>
      <c r="H8" s="91">
        <v>25</v>
      </c>
      <c r="I8" s="163">
        <v>16</v>
      </c>
      <c r="J8" s="163">
        <v>25</v>
      </c>
      <c r="K8" s="91">
        <v>21</v>
      </c>
      <c r="L8" s="91">
        <v>25</v>
      </c>
      <c r="M8" s="163">
        <v>0</v>
      </c>
      <c r="N8" s="163">
        <v>0</v>
      </c>
      <c r="O8" s="91">
        <v>0</v>
      </c>
      <c r="P8" s="91">
        <v>0</v>
      </c>
      <c r="Q8" s="163">
        <f t="shared" si="0"/>
        <v>54</v>
      </c>
      <c r="R8" s="163">
        <f t="shared" si="1"/>
        <v>75</v>
      </c>
    </row>
    <row r="9" spans="1:38" ht="12" x14ac:dyDescent="0.2">
      <c r="A9" s="110" t="s">
        <v>343</v>
      </c>
      <c r="B9" s="163" t="s">
        <v>170</v>
      </c>
      <c r="C9" s="90" t="s">
        <v>369</v>
      </c>
      <c r="D9" s="92" t="s">
        <v>150</v>
      </c>
      <c r="E9" s="154">
        <v>0</v>
      </c>
      <c r="F9" s="154">
        <v>3</v>
      </c>
      <c r="G9" s="91">
        <v>25</v>
      </c>
      <c r="H9" s="91">
        <v>6</v>
      </c>
      <c r="I9" s="163">
        <v>25</v>
      </c>
      <c r="J9" s="163">
        <v>14</v>
      </c>
      <c r="K9" s="91">
        <v>25</v>
      </c>
      <c r="L9" s="91">
        <v>18</v>
      </c>
      <c r="M9" s="163">
        <v>0</v>
      </c>
      <c r="N9" s="163">
        <v>0</v>
      </c>
      <c r="O9" s="91">
        <v>0</v>
      </c>
      <c r="P9" s="91">
        <v>0</v>
      </c>
      <c r="Q9" s="163">
        <f t="shared" si="0"/>
        <v>75</v>
      </c>
      <c r="R9" s="163">
        <f t="shared" si="1"/>
        <v>38</v>
      </c>
      <c r="U9" s="204" t="s">
        <v>360</v>
      </c>
    </row>
    <row r="10" spans="1:38" ht="12" x14ac:dyDescent="0.2">
      <c r="A10" s="110" t="s">
        <v>344</v>
      </c>
      <c r="B10" s="163" t="s">
        <v>265</v>
      </c>
      <c r="C10" s="162" t="s">
        <v>149</v>
      </c>
      <c r="D10" s="90" t="s">
        <v>369</v>
      </c>
      <c r="E10" s="154">
        <v>2</v>
      </c>
      <c r="F10" s="154">
        <v>3</v>
      </c>
      <c r="G10" s="91">
        <v>23</v>
      </c>
      <c r="H10" s="91">
        <v>25</v>
      </c>
      <c r="I10" s="163">
        <v>22</v>
      </c>
      <c r="J10" s="163">
        <v>25</v>
      </c>
      <c r="K10" s="91">
        <v>25</v>
      </c>
      <c r="L10" s="91">
        <v>21</v>
      </c>
      <c r="M10" s="163">
        <v>26</v>
      </c>
      <c r="N10" s="163">
        <v>24</v>
      </c>
      <c r="O10" s="91">
        <v>14</v>
      </c>
      <c r="P10" s="91">
        <v>16</v>
      </c>
      <c r="Q10" s="163">
        <f t="shared" si="0"/>
        <v>110</v>
      </c>
      <c r="R10" s="163">
        <f t="shared" si="1"/>
        <v>111</v>
      </c>
      <c r="U10" s="205" t="s">
        <v>174</v>
      </c>
    </row>
    <row r="11" spans="1:38" ht="12" x14ac:dyDescent="0.2">
      <c r="A11" s="110" t="s">
        <v>345</v>
      </c>
      <c r="B11" s="163" t="s">
        <v>265</v>
      </c>
      <c r="C11" s="90" t="s">
        <v>174</v>
      </c>
      <c r="D11" s="90" t="s">
        <v>150</v>
      </c>
      <c r="E11" s="154">
        <v>3</v>
      </c>
      <c r="F11" s="154">
        <v>2</v>
      </c>
      <c r="G11" s="91">
        <v>25</v>
      </c>
      <c r="H11" s="91">
        <v>18</v>
      </c>
      <c r="I11" s="163">
        <v>22</v>
      </c>
      <c r="J11" s="163">
        <v>25</v>
      </c>
      <c r="K11" s="91">
        <v>25</v>
      </c>
      <c r="L11" s="91">
        <v>22</v>
      </c>
      <c r="M11" s="163">
        <v>14</v>
      </c>
      <c r="N11" s="163">
        <v>25</v>
      </c>
      <c r="O11" s="91">
        <v>15</v>
      </c>
      <c r="P11" s="91">
        <v>9</v>
      </c>
      <c r="Q11" s="163">
        <f t="shared" si="0"/>
        <v>101</v>
      </c>
      <c r="R11" s="163">
        <f t="shared" si="1"/>
        <v>99</v>
      </c>
    </row>
    <row r="12" spans="1:38" ht="12" x14ac:dyDescent="0.2">
      <c r="A12" s="110" t="s">
        <v>346</v>
      </c>
      <c r="B12" s="163" t="s">
        <v>265</v>
      </c>
      <c r="C12" s="162" t="s">
        <v>150</v>
      </c>
      <c r="D12" s="90" t="s">
        <v>149</v>
      </c>
      <c r="E12" s="154">
        <v>3</v>
      </c>
      <c r="F12" s="154">
        <v>2</v>
      </c>
      <c r="G12" s="91">
        <v>28</v>
      </c>
      <c r="H12" s="91">
        <v>18</v>
      </c>
      <c r="I12" s="163">
        <v>15</v>
      </c>
      <c r="J12" s="163">
        <v>25</v>
      </c>
      <c r="K12" s="91">
        <v>28</v>
      </c>
      <c r="L12" s="91">
        <v>26</v>
      </c>
      <c r="M12" s="163">
        <v>22</v>
      </c>
      <c r="N12" s="163">
        <v>25</v>
      </c>
      <c r="O12" s="91">
        <v>15</v>
      </c>
      <c r="P12" s="91">
        <v>5</v>
      </c>
      <c r="Q12" s="163">
        <f t="shared" si="0"/>
        <v>108</v>
      </c>
      <c r="R12" s="163">
        <f t="shared" si="1"/>
        <v>99</v>
      </c>
    </row>
    <row r="13" spans="1:38" ht="12" x14ac:dyDescent="0.2">
      <c r="A13" s="110" t="s">
        <v>347</v>
      </c>
      <c r="B13" s="163" t="s">
        <v>265</v>
      </c>
      <c r="C13" s="90" t="s">
        <v>369</v>
      </c>
      <c r="D13" s="92" t="s">
        <v>174</v>
      </c>
      <c r="E13" s="154">
        <v>0</v>
      </c>
      <c r="F13" s="154">
        <v>3</v>
      </c>
      <c r="G13" s="91">
        <v>16</v>
      </c>
      <c r="H13" s="91">
        <v>25</v>
      </c>
      <c r="I13" s="163">
        <v>10</v>
      </c>
      <c r="J13" s="163">
        <v>25</v>
      </c>
      <c r="K13" s="91">
        <v>17</v>
      </c>
      <c r="L13" s="91">
        <v>25</v>
      </c>
      <c r="M13" s="163">
        <v>0</v>
      </c>
      <c r="N13" s="163">
        <v>0</v>
      </c>
      <c r="O13" s="91">
        <v>0</v>
      </c>
      <c r="P13" s="91">
        <v>0</v>
      </c>
      <c r="Q13" s="163">
        <f t="shared" si="0"/>
        <v>43</v>
      </c>
      <c r="R13" s="163">
        <f t="shared" si="1"/>
        <v>75</v>
      </c>
    </row>
    <row r="14" spans="1:38" ht="12" x14ac:dyDescent="0.2">
      <c r="A14" s="110" t="s">
        <v>348</v>
      </c>
      <c r="B14" s="163" t="s">
        <v>265</v>
      </c>
      <c r="C14" s="90" t="s">
        <v>149</v>
      </c>
      <c r="D14" s="92" t="s">
        <v>174</v>
      </c>
      <c r="E14" s="154">
        <v>0</v>
      </c>
      <c r="F14" s="154">
        <v>3</v>
      </c>
      <c r="G14" s="91">
        <v>14</v>
      </c>
      <c r="H14" s="91">
        <v>25</v>
      </c>
      <c r="I14" s="163">
        <v>18</v>
      </c>
      <c r="J14" s="163">
        <v>25</v>
      </c>
      <c r="K14" s="91">
        <v>11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0"/>
        <v>43</v>
      </c>
      <c r="R14" s="163">
        <f t="shared" si="1"/>
        <v>75</v>
      </c>
    </row>
    <row r="15" spans="1:38" ht="12" x14ac:dyDescent="0.2">
      <c r="A15" s="110" t="s">
        <v>349</v>
      </c>
      <c r="B15" s="163" t="s">
        <v>265</v>
      </c>
      <c r="C15" s="90" t="s">
        <v>369</v>
      </c>
      <c r="D15" s="92" t="s">
        <v>150</v>
      </c>
      <c r="E15" s="154">
        <v>2</v>
      </c>
      <c r="F15" s="154">
        <v>3</v>
      </c>
      <c r="G15" s="91">
        <v>20</v>
      </c>
      <c r="H15" s="91">
        <v>25</v>
      </c>
      <c r="I15" s="163">
        <v>25</v>
      </c>
      <c r="J15" s="163">
        <v>18</v>
      </c>
      <c r="K15" s="91">
        <v>25</v>
      </c>
      <c r="L15" s="91">
        <v>12</v>
      </c>
      <c r="M15" s="163">
        <v>23</v>
      </c>
      <c r="N15" s="163">
        <v>25</v>
      </c>
      <c r="O15" s="91">
        <v>6</v>
      </c>
      <c r="P15" s="91">
        <v>15</v>
      </c>
      <c r="Q15" s="163">
        <f t="shared" si="0"/>
        <v>99</v>
      </c>
      <c r="R15" s="163">
        <f t="shared" si="1"/>
        <v>95</v>
      </c>
    </row>
    <row r="16" spans="1:38" ht="12" x14ac:dyDescent="0.2">
      <c r="A16" s="110" t="s">
        <v>350</v>
      </c>
      <c r="B16" s="163" t="s">
        <v>308</v>
      </c>
      <c r="C16" s="162" t="s">
        <v>149</v>
      </c>
      <c r="D16" s="90" t="s">
        <v>369</v>
      </c>
      <c r="E16" s="154">
        <v>1</v>
      </c>
      <c r="F16" s="154">
        <v>3</v>
      </c>
      <c r="G16" s="91">
        <v>25</v>
      </c>
      <c r="H16" s="91">
        <v>18</v>
      </c>
      <c r="I16" s="163">
        <v>9</v>
      </c>
      <c r="J16" s="163">
        <v>25</v>
      </c>
      <c r="K16" s="91">
        <v>23</v>
      </c>
      <c r="L16" s="91">
        <v>25</v>
      </c>
      <c r="M16" s="163">
        <v>22</v>
      </c>
      <c r="N16" s="163">
        <v>25</v>
      </c>
      <c r="O16" s="91">
        <v>0</v>
      </c>
      <c r="P16" s="91">
        <v>0</v>
      </c>
      <c r="Q16" s="163">
        <f t="shared" si="0"/>
        <v>79</v>
      </c>
      <c r="R16" s="163">
        <f t="shared" si="1"/>
        <v>93</v>
      </c>
    </row>
    <row r="17" spans="1:18" ht="12" x14ac:dyDescent="0.2">
      <c r="A17" s="110" t="s">
        <v>351</v>
      </c>
      <c r="B17" s="163" t="s">
        <v>308</v>
      </c>
      <c r="C17" s="90" t="s">
        <v>174</v>
      </c>
      <c r="D17" s="90" t="s">
        <v>150</v>
      </c>
      <c r="E17" s="154">
        <v>3</v>
      </c>
      <c r="F17" s="154">
        <v>0</v>
      </c>
      <c r="G17" s="91">
        <v>25</v>
      </c>
      <c r="H17" s="91">
        <v>9</v>
      </c>
      <c r="I17" s="163">
        <v>25</v>
      </c>
      <c r="J17" s="163">
        <v>13</v>
      </c>
      <c r="K17" s="91">
        <v>25</v>
      </c>
      <c r="L17" s="91">
        <v>9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0"/>
        <v>75</v>
      </c>
      <c r="R17" s="163">
        <f t="shared" si="1"/>
        <v>31</v>
      </c>
    </row>
    <row r="18" spans="1:18" ht="12" x14ac:dyDescent="0.2">
      <c r="A18" s="110" t="s">
        <v>352</v>
      </c>
      <c r="B18" s="163" t="s">
        <v>308</v>
      </c>
      <c r="C18" s="162" t="s">
        <v>150</v>
      </c>
      <c r="D18" s="90" t="s">
        <v>149</v>
      </c>
      <c r="E18" s="154">
        <v>1</v>
      </c>
      <c r="F18" s="154">
        <v>3</v>
      </c>
      <c r="G18" s="91">
        <v>25</v>
      </c>
      <c r="H18" s="91">
        <v>22</v>
      </c>
      <c r="I18" s="163">
        <v>24</v>
      </c>
      <c r="J18" s="163">
        <v>26</v>
      </c>
      <c r="K18" s="91">
        <v>24</v>
      </c>
      <c r="L18" s="91">
        <v>26</v>
      </c>
      <c r="M18" s="163">
        <v>25</v>
      </c>
      <c r="N18" s="163">
        <v>22</v>
      </c>
      <c r="O18" s="91">
        <v>0</v>
      </c>
      <c r="P18" s="91">
        <v>0</v>
      </c>
      <c r="Q18" s="163">
        <f t="shared" si="0"/>
        <v>98</v>
      </c>
      <c r="R18" s="163">
        <f t="shared" si="1"/>
        <v>96</v>
      </c>
    </row>
    <row r="19" spans="1:18" ht="12" x14ac:dyDescent="0.2">
      <c r="A19" s="110" t="s">
        <v>353</v>
      </c>
      <c r="B19" s="163" t="s">
        <v>308</v>
      </c>
      <c r="C19" s="90" t="s">
        <v>369</v>
      </c>
      <c r="D19" s="92" t="s">
        <v>174</v>
      </c>
      <c r="E19" s="154">
        <v>0</v>
      </c>
      <c r="F19" s="154">
        <v>3</v>
      </c>
      <c r="G19" s="91">
        <v>5</v>
      </c>
      <c r="H19" s="91">
        <v>25</v>
      </c>
      <c r="I19" s="163">
        <v>18</v>
      </c>
      <c r="J19" s="163">
        <v>25</v>
      </c>
      <c r="K19" s="91">
        <v>13</v>
      </c>
      <c r="L19" s="91">
        <v>25</v>
      </c>
      <c r="M19" s="163">
        <v>0</v>
      </c>
      <c r="N19" s="163">
        <v>0</v>
      </c>
      <c r="O19" s="91">
        <v>0</v>
      </c>
      <c r="P19" s="91">
        <v>0</v>
      </c>
      <c r="Q19" s="163">
        <f t="shared" si="0"/>
        <v>36</v>
      </c>
      <c r="R19" s="163">
        <f t="shared" si="1"/>
        <v>75</v>
      </c>
    </row>
    <row r="20" spans="1:18" ht="12" x14ac:dyDescent="0.2">
      <c r="A20" s="110" t="s">
        <v>354</v>
      </c>
      <c r="B20" s="163" t="s">
        <v>308</v>
      </c>
      <c r="C20" s="90" t="s">
        <v>149</v>
      </c>
      <c r="D20" s="92" t="s">
        <v>174</v>
      </c>
      <c r="E20" s="154">
        <v>1</v>
      </c>
      <c r="F20" s="154">
        <v>3</v>
      </c>
      <c r="G20" s="91">
        <v>17</v>
      </c>
      <c r="H20" s="91">
        <v>25</v>
      </c>
      <c r="I20" s="163">
        <v>25</v>
      </c>
      <c r="J20" s="163">
        <v>21</v>
      </c>
      <c r="K20" s="91">
        <v>17</v>
      </c>
      <c r="L20" s="91">
        <v>25</v>
      </c>
      <c r="M20" s="163">
        <v>23</v>
      </c>
      <c r="N20" s="163">
        <v>25</v>
      </c>
      <c r="O20" s="91">
        <v>0</v>
      </c>
      <c r="P20" s="91">
        <v>0</v>
      </c>
      <c r="Q20" s="163">
        <f t="shared" si="0"/>
        <v>82</v>
      </c>
      <c r="R20" s="163">
        <f t="shared" si="1"/>
        <v>96</v>
      </c>
    </row>
    <row r="21" spans="1:18" ht="12" x14ac:dyDescent="0.2">
      <c r="A21" s="110" t="s">
        <v>355</v>
      </c>
      <c r="B21" s="163" t="s">
        <v>308</v>
      </c>
      <c r="C21" s="90" t="s">
        <v>369</v>
      </c>
      <c r="D21" s="92" t="s">
        <v>150</v>
      </c>
      <c r="E21" s="154">
        <v>0</v>
      </c>
      <c r="F21" s="154">
        <v>3</v>
      </c>
      <c r="G21" s="91">
        <v>14</v>
      </c>
      <c r="H21" s="91">
        <v>25</v>
      </c>
      <c r="I21" s="163">
        <v>21</v>
      </c>
      <c r="J21" s="163">
        <v>25</v>
      </c>
      <c r="K21" s="91">
        <v>16</v>
      </c>
      <c r="L21" s="91">
        <v>25</v>
      </c>
      <c r="M21" s="163">
        <v>0</v>
      </c>
      <c r="N21" s="163">
        <v>0</v>
      </c>
      <c r="O21" s="91">
        <v>0</v>
      </c>
      <c r="P21" s="91">
        <v>0</v>
      </c>
      <c r="Q21" s="163">
        <f t="shared" si="0"/>
        <v>51</v>
      </c>
      <c r="R21" s="163">
        <f t="shared" si="1"/>
        <v>75</v>
      </c>
    </row>
  </sheetData>
  <sheetProtection selectLockedCells="1" selectUnlockedCells="1"/>
  <sortState ref="U4:AL7">
    <sortCondition descending="1" ref="V4:V7"/>
    <sortCondition descending="1" ref="AC4:AC7"/>
    <sortCondition descending="1" ref="AF4:AF7"/>
  </sortState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showGridLines="0" zoomScaleNormal="100" workbookViewId="0">
      <selection activeCell="Q14" sqref="Q14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2" width="3" style="66" customWidth="1"/>
    <col min="13" max="13" width="3.42578125" style="66" customWidth="1"/>
    <col min="14" max="14" width="3.5703125" style="66" bestFit="1" customWidth="1"/>
    <col min="15" max="15" width="4.140625" style="9" customWidth="1"/>
    <col min="16" max="16" width="3.28515625" style="17" customWidth="1"/>
    <col min="17" max="17" width="24.85546875" style="17" customWidth="1"/>
    <col min="18" max="18" width="7.28515625" style="17" customWidth="1"/>
    <col min="19" max="19" width="4.85546875" style="17" customWidth="1"/>
    <col min="20" max="21" width="4.42578125" style="17" customWidth="1"/>
    <col min="22" max="22" width="4" style="17" customWidth="1"/>
    <col min="23" max="24" width="4.42578125" style="17" customWidth="1"/>
    <col min="25" max="25" width="4.85546875" style="17" customWidth="1"/>
    <col min="26" max="26" width="7.140625" style="17" bestFit="1" customWidth="1"/>
    <col min="27" max="27" width="4.42578125" style="17" customWidth="1"/>
    <col min="28" max="28" width="4.85546875" style="17" customWidth="1"/>
    <col min="29" max="32" width="5.7109375" style="17" customWidth="1"/>
    <col min="33" max="16384" width="11.42578125" style="66"/>
  </cols>
  <sheetData>
    <row r="1" spans="1:32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</row>
    <row r="2" spans="1:32" ht="12" x14ac:dyDescent="0.2">
      <c r="A2" s="202"/>
      <c r="B2" s="202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191"/>
      <c r="AD2" s="66"/>
      <c r="AE2" s="66"/>
      <c r="AF2" s="66"/>
    </row>
    <row r="3" spans="1:32" ht="12" x14ac:dyDescent="0.2">
      <c r="A3" s="201" t="s">
        <v>5</v>
      </c>
      <c r="B3" s="201" t="s">
        <v>6</v>
      </c>
      <c r="C3" s="201" t="s">
        <v>7</v>
      </c>
      <c r="D3" s="201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 t="s">
        <v>9</v>
      </c>
      <c r="N3" s="251"/>
      <c r="O3" s="191"/>
      <c r="P3" s="209"/>
      <c r="Q3" s="209" t="s">
        <v>1</v>
      </c>
      <c r="R3" s="209" t="s">
        <v>1</v>
      </c>
      <c r="S3" s="253" t="s">
        <v>2</v>
      </c>
      <c r="T3" s="253"/>
      <c r="U3" s="253"/>
      <c r="V3" s="253"/>
      <c r="W3" s="254" t="s">
        <v>4</v>
      </c>
      <c r="X3" s="254"/>
      <c r="Y3" s="254"/>
      <c r="Z3" s="254" t="s">
        <v>3</v>
      </c>
      <c r="AA3" s="254"/>
      <c r="AB3" s="254"/>
      <c r="AC3" s="258" t="s">
        <v>162</v>
      </c>
      <c r="AD3" s="259"/>
      <c r="AE3" s="259"/>
      <c r="AF3" s="260"/>
    </row>
    <row r="4" spans="1:32" ht="12" x14ac:dyDescent="0.2">
      <c r="A4" s="110" t="s">
        <v>370</v>
      </c>
      <c r="B4" s="202" t="s">
        <v>170</v>
      </c>
      <c r="C4" s="193" t="s">
        <v>174</v>
      </c>
      <c r="D4" s="193" t="s">
        <v>149</v>
      </c>
      <c r="E4" s="200">
        <v>2</v>
      </c>
      <c r="F4" s="200">
        <v>0</v>
      </c>
      <c r="G4" s="91">
        <v>25</v>
      </c>
      <c r="H4" s="91">
        <v>20</v>
      </c>
      <c r="I4" s="202">
        <v>25</v>
      </c>
      <c r="J4" s="202">
        <v>22</v>
      </c>
      <c r="K4" s="91">
        <v>0</v>
      </c>
      <c r="L4" s="91">
        <v>0</v>
      </c>
      <c r="M4" s="202">
        <f>G4+I4+K4</f>
        <v>50</v>
      </c>
      <c r="N4" s="202">
        <f>H4+J4+L4</f>
        <v>42</v>
      </c>
      <c r="P4" s="209" t="s">
        <v>10</v>
      </c>
      <c r="Q4" s="209" t="s">
        <v>11</v>
      </c>
      <c r="R4" s="209" t="s">
        <v>3</v>
      </c>
      <c r="S4" s="100" t="s">
        <v>9</v>
      </c>
      <c r="T4" s="102" t="s">
        <v>12</v>
      </c>
      <c r="U4" s="102" t="s">
        <v>13</v>
      </c>
      <c r="V4" s="209" t="s">
        <v>14</v>
      </c>
      <c r="W4" s="209" t="s">
        <v>12</v>
      </c>
      <c r="X4" s="88" t="s">
        <v>13</v>
      </c>
      <c r="Y4" s="209" t="s">
        <v>16</v>
      </c>
      <c r="Z4" s="209" t="s">
        <v>12</v>
      </c>
      <c r="AA4" s="88" t="s">
        <v>13</v>
      </c>
      <c r="AB4" s="209" t="s">
        <v>16</v>
      </c>
      <c r="AC4" s="208" t="s">
        <v>383</v>
      </c>
      <c r="AD4" s="208" t="s">
        <v>384</v>
      </c>
      <c r="AE4" s="208" t="s">
        <v>385</v>
      </c>
      <c r="AF4" s="208" t="s">
        <v>386</v>
      </c>
    </row>
    <row r="5" spans="1:32" ht="12" x14ac:dyDescent="0.2">
      <c r="A5" s="110" t="s">
        <v>371</v>
      </c>
      <c r="B5" s="202" t="s">
        <v>170</v>
      </c>
      <c r="C5" s="194" t="s">
        <v>174</v>
      </c>
      <c r="D5" s="193" t="s">
        <v>369</v>
      </c>
      <c r="E5" s="200">
        <v>2</v>
      </c>
      <c r="F5" s="200">
        <v>0</v>
      </c>
      <c r="G5" s="91">
        <v>25</v>
      </c>
      <c r="H5" s="91">
        <v>17</v>
      </c>
      <c r="I5" s="202">
        <v>25</v>
      </c>
      <c r="J5" s="202">
        <v>21</v>
      </c>
      <c r="K5" s="91">
        <v>0</v>
      </c>
      <c r="L5" s="91">
        <v>0</v>
      </c>
      <c r="M5" s="202">
        <f t="shared" ref="M5:M15" si="0">G5+I5+K5</f>
        <v>50</v>
      </c>
      <c r="N5" s="202">
        <f t="shared" ref="N5:N15" si="1">H5+J5+L5</f>
        <v>38</v>
      </c>
      <c r="P5" s="207">
        <v>1</v>
      </c>
      <c r="Q5" s="207" t="s">
        <v>174</v>
      </c>
      <c r="R5" s="99">
        <f>AC5*3+AD5*2+AE5*1</f>
        <v>24</v>
      </c>
      <c r="S5" s="104">
        <f>T5+U5+V5</f>
        <v>8</v>
      </c>
      <c r="T5" s="104">
        <f>COUNTIF($E$4,"=2")+COUNTIF($E$5,"=2")+COUNTIF($E$7,"=2")+COUNTIF($E$8,"=2")+COUNTIF($E$10,"=2")+COUNTIF($E$11,"=2")+COUNTIF($E$13,"=2")+COUNTIF($E$14,"=2")</f>
        <v>7</v>
      </c>
      <c r="U5" s="103">
        <f>SUM(IF($E$4&lt;$F$4,1,0))+SUM(IF($E$5&lt;$F$5,1,0))+SUM(IF($E$7&lt;$F$7,1,0))+SUM(IF($E$8&lt;$F$8,1,0))+SUM(IF($E$10&lt;$F$10,1,0))+SUM(IF($E$11&lt;$F$11,1,0))+SUM(IF($E$13&lt;$F$13,1,0))+SUM(IF($E$14&lt;$F$14,1,0))</f>
        <v>1</v>
      </c>
      <c r="V5" s="101"/>
      <c r="W5" s="93">
        <f>$E$4+$E$5+$E$7+$E$8+$E$10+$E$11+$E$13+$E$14</f>
        <v>15</v>
      </c>
      <c r="X5" s="93">
        <f>$F$4+$F$5+$F$7+$F$8+$F$10+$F$11+$F$13+$F$14</f>
        <v>2</v>
      </c>
      <c r="Y5" s="210">
        <f>IF(X5=0,"MAX",W5/X5)</f>
        <v>7.5</v>
      </c>
      <c r="Z5" s="93">
        <f>$M$4+$M$5+$M$7+$M$8+$M$10+$M$11+$M$13+$M$14</f>
        <v>401</v>
      </c>
      <c r="AA5" s="93">
        <f>$N$4+$N$5+$N$7+$N$8+$N$10+$N$11+$N$13+$N$14</f>
        <v>314</v>
      </c>
      <c r="AB5" s="210">
        <f>IF(AA5=0,"MAX",Z5/AA5)</f>
        <v>1.2770700636942676</v>
      </c>
      <c r="AC5" s="210">
        <f>SUM(IF(AND($E$4=2,$F$4=0),1,0))+SUM(IF(AND($E$5=2,$F$5=0),1,0))+SUM(IF(AND($E$7=2,$F$7=0),1,0))+SUM(IF(AND($E$8=2,$F$8=0),1,0))+SUM(IF(AND($E$10=2,$F$10=0),1,0))+SUM(IF(AND($E$11=2,$F$11=0),1,0))+SUM(IF(AND($E$13=2,$F$13=0),1,0))+SUM(IF(AND($E$14=2,$F$14=0),1,0))</f>
        <v>7</v>
      </c>
      <c r="AD5" s="210">
        <f>SUM(IF(AND($E$4=2,$F$4=1),1,0))+SUM(IF(AND($E$5=2,$F$5=1),1,0))+SUM(IF(AND($E$7=2,$F$7=1),1,0))+SUM(IF(AND($E$8=2,$F$8=1),1,0))+SUM(IF(AND($E$10=2,$F$10=1),1,0))+SUM(IF(AND($E$11=2,$F$11=1),1,0))+SUM(IF(AND($E$12=2,$F$12=1),1,0))+SUM(IF(AND($E$14=2,$F$14=1),1,0))</f>
        <v>1</v>
      </c>
      <c r="AE5" s="210">
        <f>SUM(IF(AND($E$4=1,$F$4=2),1,0))+SUM(IF(AND($E$5=1,$F$5=2),1,0))+SUM(IF(AND($E$7=1,$F$7=2),1,0))+SUM(IF(AND($E$8=1,$F$8=2),1,0))+SUM(IF(AND($E$10=1,$F$10=2),1,0))+SUM(IF(AND($E$11=1,$F$11=2),1,0))+SUM(IF(AND($E$12=1,$F$12=2),1,0))+SUM(IF(AND($E$14=1,$F$14=2),1,0))</f>
        <v>1</v>
      </c>
      <c r="AF5" s="210">
        <f>SUM(IF(AND($E$4=0,$F$4=2),1,0))+SUM(IF(AND($E$5=0,$F$5=2),1,0))+SUM(IF(AND($E$7=0,$F$7=2),1,0))+SUM(IF(AND($E$8=0,$F$8=2),1,0))+SUM(IF(AND($E$10=0,$F$10=2),1,0))+SUM(IF(AND($E$11=0,$F$11=2),1,0))+SUM(IF(AND($E$12=0,$F$12=2),1,0))+SUM(IF(AND($E$14=0,$F$14=2),1,0))</f>
        <v>0</v>
      </c>
    </row>
    <row r="6" spans="1:32" ht="12" x14ac:dyDescent="0.2">
      <c r="A6" s="110" t="s">
        <v>372</v>
      </c>
      <c r="B6" s="202" t="s">
        <v>170</v>
      </c>
      <c r="C6" s="193" t="s">
        <v>369</v>
      </c>
      <c r="D6" s="193" t="s">
        <v>149</v>
      </c>
      <c r="E6" s="200">
        <v>2</v>
      </c>
      <c r="F6" s="200">
        <v>0</v>
      </c>
      <c r="G6" s="91">
        <v>25</v>
      </c>
      <c r="H6" s="91">
        <v>22</v>
      </c>
      <c r="I6" s="202">
        <v>25</v>
      </c>
      <c r="J6" s="202">
        <v>9</v>
      </c>
      <c r="K6" s="91">
        <v>0</v>
      </c>
      <c r="L6" s="91">
        <v>0</v>
      </c>
      <c r="M6" s="202">
        <f t="shared" si="0"/>
        <v>50</v>
      </c>
      <c r="N6" s="202">
        <f t="shared" si="1"/>
        <v>31</v>
      </c>
      <c r="P6" s="207">
        <v>2</v>
      </c>
      <c r="Q6" s="207" t="s">
        <v>369</v>
      </c>
      <c r="R6" s="99">
        <f>AC6*3+AD6*2+AE6*1</f>
        <v>13</v>
      </c>
      <c r="S6" s="104">
        <f>T6+U6+V6</f>
        <v>8</v>
      </c>
      <c r="T6" s="104">
        <f>COUNTIF($F$5,"=2")+COUNTIF($E$6,"=2")+COUNTIF($F$8,"=2")+COUNTIF($E$9,"=2")+COUNTIF($F$11,"=2")+COUNTIF($E$12,"=2")+COUNTIF($F$14,"=2")+COUNTIF($E$15,"=2")</f>
        <v>5</v>
      </c>
      <c r="U6" s="103">
        <f>SUM(IF($F$5&lt;$E$5,1,0))+SUM(IF($E$6&lt;$F$6,1,0))+SUM(IF($F$8&lt;$E$8,1,0))+SUM(IF($E$9&lt;$F$9,1,0))+SUM(IF($F$11&lt;$E$11,1,0))+SUM(IF($E$12&lt;$F$12,1,0))+SUM(IF($F$14&lt;$E$14,1,0))+SUM(IF($E$15&lt;$F$15,1,0))</f>
        <v>3</v>
      </c>
      <c r="V6" s="98"/>
      <c r="W6" s="104">
        <f>$F$5+$E$6+$F$8+$E$9+$F$11+$E$12+$F$14+$E$15</f>
        <v>10</v>
      </c>
      <c r="X6" s="104">
        <f>$E$5+$F$6+$E$8+$F$9+$E$11+$F$12+$E$14+$F$15</f>
        <v>8</v>
      </c>
      <c r="Y6" s="210">
        <f>IF(X6=0,"MAX",W6/X6)</f>
        <v>1.25</v>
      </c>
      <c r="Z6" s="104">
        <f>$N$5+$M$6+$N$8+$M$9+$N$11+$M$12+$N$14+$M$15</f>
        <v>389</v>
      </c>
      <c r="AA6" s="104">
        <f>$M$5+$N$6+$M$8+$N$9+$M$11+$N$12+$M$14+$N$15</f>
        <v>362</v>
      </c>
      <c r="AB6" s="210">
        <f>IF(AA6=0,"MAX",Z6/AA6)</f>
        <v>1.0745856353591161</v>
      </c>
      <c r="AC6" s="210">
        <f>SUM(IF(AND($F$5=2,$E$5=0),1,0))+SUM(IF(AND($E$6=2,$F$6=0),1,0))+SUM(IF(AND($F$8=2,$E$8=0),1,0))+SUM(IF(AND($E$9=2,$F$9=0),1,0))+SUM(IF(AND($F$11=2,$E$11=0),1,0))+SUM(IF(AND($E$12=2,$F$12=0),1,0))+SUM(IF(AND($F$14=2,$E$14=0),1,0))+SUM(IF(AND($E$15=2,$F$15=0),1,0))</f>
        <v>3</v>
      </c>
      <c r="AD6" s="210">
        <f>SUM(IF(AND($F$5=2,$E$5=1),1,0))+SUM(IF(AND($E$6=2,$F$6=1),1,0))+SUM(IF(AND($F$8=2,$E$8=1),1,0))+SUM(IF(AND($E$9=2,$F$9=1),1,0))+SUM(IF(AND($F$11=2,$E$11=1),1,0))+SUM(IF(AND($E$12=2,$F$12=1),1,0))+SUM(IF(AND($F$14=2,$E$14=1),1,0))+SUM(IF(AND($E$15=2,$F$15=1),1,0))</f>
        <v>2</v>
      </c>
      <c r="AE6" s="210">
        <f>SUM(IF(AND($F$5=1,$E$5=2),1,0))+SUM(IF(AND($E$6=1,$F$6=2),1,0))+SUM(IF(AND($F$8=1,$E$8=2),1,0))+SUM(IF(AND($E$9=1,$F$9=2),1,0))+SUM(IF(AND($F$11=1,$E$11=2),1,0))+SUM(IF(AND($E$12=1,$F$12=2),1,0))+SUM(IF(AND($F$14=1,$E$14=2),1,0))+SUM(IF(AND($E$15=1,$F$15=2),1,0))</f>
        <v>0</v>
      </c>
      <c r="AF6" s="210">
        <f>SUM(IF(AND($F$5=0,$E$5=2),1,0))+SUM(IF(AND($E$6=0,$F$6=2),1,0))+SUM(IF(AND($F$8=0,$E$8=2),1,0))+SUM(IF(AND($E$9=0,$F$9=2),1,0))+SUM(IF(AND($F$11=0,$E$11=2),1,0))+SUM(IF(AND($E$12=0,$F$12=2),1,0))+SUM(IF(AND($F$14=0,$E$14=2),1,0))+SUM(IF(AND($E$15=0,$F$15=2),1,0))</f>
        <v>3</v>
      </c>
    </row>
    <row r="7" spans="1:32" ht="12" x14ac:dyDescent="0.2">
      <c r="A7" s="110" t="s">
        <v>373</v>
      </c>
      <c r="B7" s="202" t="s">
        <v>265</v>
      </c>
      <c r="C7" s="193" t="s">
        <v>174</v>
      </c>
      <c r="D7" s="193" t="s">
        <v>149</v>
      </c>
      <c r="E7" s="200">
        <v>2</v>
      </c>
      <c r="F7" s="200">
        <v>0</v>
      </c>
      <c r="G7" s="91">
        <v>25</v>
      </c>
      <c r="H7" s="91">
        <v>13</v>
      </c>
      <c r="I7" s="202">
        <v>25</v>
      </c>
      <c r="J7" s="202">
        <v>23</v>
      </c>
      <c r="K7" s="91">
        <v>0</v>
      </c>
      <c r="L7" s="91">
        <v>0</v>
      </c>
      <c r="M7" s="202">
        <f t="shared" si="0"/>
        <v>50</v>
      </c>
      <c r="N7" s="202">
        <f t="shared" si="1"/>
        <v>36</v>
      </c>
      <c r="P7" s="207">
        <v>3</v>
      </c>
      <c r="Q7" s="207" t="s">
        <v>149</v>
      </c>
      <c r="R7" s="99">
        <f>AC7*3+AD7*2+AE7*1</f>
        <v>1</v>
      </c>
      <c r="S7" s="104">
        <f>T7+U7+V7</f>
        <v>8</v>
      </c>
      <c r="T7" s="104">
        <f>COUNTIF($F$4,"=2")+COUNTIF($F$6,"=2")+COUNTIF($F$7,"=2")+COUNTIF($F$9,"=2")+COUNTIF($F$10,"=2")+COUNTIF($F$12,"=2")+COUNTIF($F$13,"=2")+COUNTIF($F$15,"=2")</f>
        <v>0</v>
      </c>
      <c r="U7" s="103">
        <f>SUM(IF($F$4&lt;$E$4,1,0))+SUM(IF($F$6&lt;$E$6,1,0))+SUM(IF($F$7&lt;$E$7,1,0))+SUM(IF($F$9&lt;$E$9,1,0))+SUM(IF($F$10&lt;$E$10,1,0))+SUM(IF($F$12&lt;$E$12,1,0))+SUM(IF($F$14&lt;$E$14,1,0))+SUM(IF($F$15&lt;$E$15,1,0))</f>
        <v>8</v>
      </c>
      <c r="V7" s="98"/>
      <c r="W7" s="104">
        <f>$F$4+$F$6+$F$7+$F$9+$F$10+$F$12+$F$13+$F$15</f>
        <v>1</v>
      </c>
      <c r="X7" s="104">
        <f>$E$4+$E$6+$E$7+$E$9+$E$10+$E$12+$E$13+$E$15</f>
        <v>16</v>
      </c>
      <c r="Y7" s="210">
        <f>IF(X7=0,"MAX",W7/X7)</f>
        <v>6.25E-2</v>
      </c>
      <c r="Z7" s="104">
        <f>$N$4+$N$6+$N$7+$N$9+$N$10+$N$12+$N$13+$N$15</f>
        <v>301</v>
      </c>
      <c r="AA7" s="104">
        <f>$M$4+$M$6+$M$7+$M$9+$M$10+$M$12+$M$13+$M$15</f>
        <v>415</v>
      </c>
      <c r="AB7" s="210">
        <f>IF(AA7=0,"MAX",Z7/AA7)</f>
        <v>0.72530120481927707</v>
      </c>
      <c r="AC7" s="210">
        <f>SUM(IF(AND($F$4=2,$E$4=0),1,0))+SUM(IF(AND($F$6=2,$E$6=0),1,0))+SUM(IF(AND($F$7=2,$E$7=0),1,0))+SUM(IF(AND($F$9=2,$E$9=0),1,0))+SUM(IF(AND($F$10=2,$E$10=0),1,0))+SUM(IF(AND($F$12=2,$E$12=0),1,0))+SUM(IF(AND($F$13=2,$E$13=0),1,0))+SUM(IF(AND($F$15=2,$E$15=0),1,0))</f>
        <v>0</v>
      </c>
      <c r="AD7" s="210">
        <f>SUM(IF(AND($F$4=2,$E$4=1),1,0))+SUM(IF(AND($F$6=2,$E$6=1),1,0))+SUM(IF(AND($F$7=2,$E$7=1),1,0))+SUM(IF(AND($F$9=2,$E$9=1),1,0))+SUM(IF(AND($F$10=2,$E$10=1),1,0))+SUM(IF(AND($F$12=2,$E$12=1),1,0))+SUM(IF(AND($F$13=2,$E$13=1),1,0))+SUM(IF(AND($F$15=2,$E$15=1),1,0))</f>
        <v>0</v>
      </c>
      <c r="AE7" s="210">
        <f>SUM(IF(AND($F$4=1,$E$4=2),1,0))+SUM(IF(AND($F$6=1,$E$6=2),1,0))+SUM(IF(AND($F$7=1,$E$7=2),1,0))+SUM(IF(AND($F$9=1,$E$9=2),1,0))+SUM(IF(AND($F$10=1,$E$10=2),1,0))+SUM(IF(AND($F$12=1,$E$12=2),1,0))+SUM(IF(AND($F$13=1,$E$13=2),1,0))+SUM(IF(AND($F$15=1,$E$15=2),1,0))</f>
        <v>1</v>
      </c>
      <c r="AF7" s="210">
        <f>SUM(IF(AND($F$4=0,$E$4=2),1,0))+SUM(IF(AND($F$6=0,$E$6=2),1,0))+SUM(IF(AND($F$7=0,$E$7=2),1,0))+SUM(IF(AND($F$9=0,$E$9=2),1,0))+SUM(IF(AND($F$10=0,$E$10=2),1,0))+SUM(IF(AND($F$12=0,$E$12=2),1,0))+SUM(IF(AND($F$13=0,$E$13=2),1,0))+SUM(IF(AND($F$15=0,$E$15=2),1,0))</f>
        <v>7</v>
      </c>
    </row>
    <row r="8" spans="1:32" ht="12" x14ac:dyDescent="0.2">
      <c r="A8" s="110" t="s">
        <v>374</v>
      </c>
      <c r="B8" s="202" t="s">
        <v>265</v>
      </c>
      <c r="C8" s="194" t="s">
        <v>174</v>
      </c>
      <c r="D8" s="193" t="s">
        <v>369</v>
      </c>
      <c r="E8" s="200">
        <v>1</v>
      </c>
      <c r="F8" s="200">
        <v>2</v>
      </c>
      <c r="G8" s="91">
        <v>15</v>
      </c>
      <c r="H8" s="91">
        <v>25</v>
      </c>
      <c r="I8" s="202">
        <v>25</v>
      </c>
      <c r="J8" s="202">
        <v>18</v>
      </c>
      <c r="K8" s="91">
        <v>11</v>
      </c>
      <c r="L8" s="91">
        <v>15</v>
      </c>
      <c r="M8" s="202">
        <f t="shared" si="0"/>
        <v>51</v>
      </c>
      <c r="N8" s="202">
        <f t="shared" si="1"/>
        <v>58</v>
      </c>
    </row>
    <row r="9" spans="1:32" ht="12" x14ac:dyDescent="0.2">
      <c r="A9" s="110" t="s">
        <v>375</v>
      </c>
      <c r="B9" s="202" t="s">
        <v>265</v>
      </c>
      <c r="C9" s="193" t="s">
        <v>369</v>
      </c>
      <c r="D9" s="193" t="s">
        <v>149</v>
      </c>
      <c r="E9" s="200">
        <v>2</v>
      </c>
      <c r="F9" s="200">
        <v>0</v>
      </c>
      <c r="G9" s="91">
        <v>25</v>
      </c>
      <c r="H9" s="91">
        <v>19</v>
      </c>
      <c r="I9" s="202">
        <v>25</v>
      </c>
      <c r="J9" s="202">
        <v>17</v>
      </c>
      <c r="K9" s="91">
        <v>0</v>
      </c>
      <c r="L9" s="91">
        <v>0</v>
      </c>
      <c r="M9" s="202">
        <f t="shared" si="0"/>
        <v>50</v>
      </c>
      <c r="N9" s="202">
        <f t="shared" si="1"/>
        <v>36</v>
      </c>
      <c r="Q9" s="217" t="s">
        <v>360</v>
      </c>
    </row>
    <row r="10" spans="1:32" ht="12" x14ac:dyDescent="0.2">
      <c r="A10" s="110" t="s">
        <v>376</v>
      </c>
      <c r="B10" s="202" t="s">
        <v>308</v>
      </c>
      <c r="C10" s="193" t="s">
        <v>174</v>
      </c>
      <c r="D10" s="193" t="s">
        <v>149</v>
      </c>
      <c r="E10" s="200">
        <v>2</v>
      </c>
      <c r="F10" s="200">
        <v>0</v>
      </c>
      <c r="G10" s="91">
        <v>25</v>
      </c>
      <c r="H10" s="91">
        <v>16</v>
      </c>
      <c r="I10" s="202">
        <v>25</v>
      </c>
      <c r="J10" s="202">
        <v>15</v>
      </c>
      <c r="K10" s="91">
        <v>0</v>
      </c>
      <c r="L10" s="91">
        <v>0</v>
      </c>
      <c r="M10" s="202">
        <f t="shared" si="0"/>
        <v>50</v>
      </c>
      <c r="N10" s="202">
        <f t="shared" si="1"/>
        <v>31</v>
      </c>
      <c r="Q10" s="218" t="s">
        <v>174</v>
      </c>
    </row>
    <row r="11" spans="1:32" ht="12" x14ac:dyDescent="0.2">
      <c r="A11" s="110" t="s">
        <v>377</v>
      </c>
      <c r="B11" s="202" t="s">
        <v>308</v>
      </c>
      <c r="C11" s="194" t="s">
        <v>174</v>
      </c>
      <c r="D11" s="193" t="s">
        <v>369</v>
      </c>
      <c r="E11" s="200">
        <v>2</v>
      </c>
      <c r="F11" s="200">
        <v>0</v>
      </c>
      <c r="G11" s="91">
        <v>25</v>
      </c>
      <c r="H11" s="91">
        <v>20</v>
      </c>
      <c r="I11" s="202">
        <v>25</v>
      </c>
      <c r="J11" s="202">
        <v>20</v>
      </c>
      <c r="K11" s="91">
        <v>0</v>
      </c>
      <c r="L11" s="91">
        <v>0</v>
      </c>
      <c r="M11" s="202">
        <f t="shared" si="0"/>
        <v>50</v>
      </c>
      <c r="N11" s="202">
        <f t="shared" si="1"/>
        <v>40</v>
      </c>
    </row>
    <row r="12" spans="1:32" ht="12" x14ac:dyDescent="0.2">
      <c r="A12" s="110" t="s">
        <v>378</v>
      </c>
      <c r="B12" s="202" t="s">
        <v>308</v>
      </c>
      <c r="C12" s="193" t="s">
        <v>369</v>
      </c>
      <c r="D12" s="193" t="s">
        <v>149</v>
      </c>
      <c r="E12" s="200">
        <v>2</v>
      </c>
      <c r="F12" s="200">
        <v>1</v>
      </c>
      <c r="G12" s="91">
        <v>23</v>
      </c>
      <c r="H12" s="91">
        <v>25</v>
      </c>
      <c r="I12" s="202">
        <v>27</v>
      </c>
      <c r="J12" s="202">
        <v>25</v>
      </c>
      <c r="K12" s="91">
        <v>15</v>
      </c>
      <c r="L12" s="91">
        <v>11</v>
      </c>
      <c r="M12" s="202">
        <f t="shared" si="0"/>
        <v>65</v>
      </c>
      <c r="N12" s="202">
        <f t="shared" si="1"/>
        <v>61</v>
      </c>
    </row>
    <row r="13" spans="1:32" ht="12" x14ac:dyDescent="0.2">
      <c r="A13" s="110" t="s">
        <v>379</v>
      </c>
      <c r="B13" s="202" t="s">
        <v>335</v>
      </c>
      <c r="C13" s="193" t="s">
        <v>174</v>
      </c>
      <c r="D13" s="193" t="s">
        <v>149</v>
      </c>
      <c r="E13" s="200">
        <v>2</v>
      </c>
      <c r="F13" s="200">
        <v>0</v>
      </c>
      <c r="G13" s="91">
        <v>25</v>
      </c>
      <c r="H13" s="91">
        <v>19</v>
      </c>
      <c r="I13" s="202">
        <v>25</v>
      </c>
      <c r="J13" s="202">
        <v>12</v>
      </c>
      <c r="K13" s="91">
        <v>0</v>
      </c>
      <c r="L13" s="91">
        <v>0</v>
      </c>
      <c r="M13" s="202">
        <f t="shared" si="0"/>
        <v>50</v>
      </c>
      <c r="N13" s="202">
        <f t="shared" si="1"/>
        <v>31</v>
      </c>
    </row>
    <row r="14" spans="1:32" ht="12" x14ac:dyDescent="0.2">
      <c r="A14" s="110" t="s">
        <v>380</v>
      </c>
      <c r="B14" s="202" t="s">
        <v>335</v>
      </c>
      <c r="C14" s="194" t="s">
        <v>174</v>
      </c>
      <c r="D14" s="193" t="s">
        <v>369</v>
      </c>
      <c r="E14" s="200">
        <v>2</v>
      </c>
      <c r="F14" s="200">
        <v>0</v>
      </c>
      <c r="G14" s="91">
        <v>25</v>
      </c>
      <c r="H14" s="91">
        <v>21</v>
      </c>
      <c r="I14" s="202">
        <v>25</v>
      </c>
      <c r="J14" s="202">
        <v>17</v>
      </c>
      <c r="K14" s="91">
        <v>0</v>
      </c>
      <c r="L14" s="91">
        <v>0</v>
      </c>
      <c r="M14" s="202">
        <f t="shared" si="0"/>
        <v>50</v>
      </c>
      <c r="N14" s="202">
        <f t="shared" si="1"/>
        <v>38</v>
      </c>
    </row>
    <row r="15" spans="1:32" ht="12" x14ac:dyDescent="0.2">
      <c r="A15" s="110" t="s">
        <v>381</v>
      </c>
      <c r="B15" s="202" t="s">
        <v>335</v>
      </c>
      <c r="C15" s="193" t="s">
        <v>369</v>
      </c>
      <c r="D15" s="193" t="s">
        <v>149</v>
      </c>
      <c r="E15" s="200">
        <v>2</v>
      </c>
      <c r="F15" s="200">
        <v>0</v>
      </c>
      <c r="G15" s="91">
        <v>25</v>
      </c>
      <c r="H15" s="91">
        <v>16</v>
      </c>
      <c r="I15" s="202">
        <v>25</v>
      </c>
      <c r="J15" s="202">
        <v>17</v>
      </c>
      <c r="K15" s="91">
        <v>0</v>
      </c>
      <c r="L15" s="91">
        <v>0</v>
      </c>
      <c r="M15" s="202">
        <f t="shared" si="0"/>
        <v>50</v>
      </c>
      <c r="N15" s="202">
        <f t="shared" si="1"/>
        <v>33</v>
      </c>
    </row>
  </sheetData>
  <sheetProtection selectLockedCells="1" selectUnlockedCells="1"/>
  <mergeCells count="13">
    <mergeCell ref="S3:V3"/>
    <mergeCell ref="W3:Y3"/>
    <mergeCell ref="Z3:AB3"/>
    <mergeCell ref="AC3:AF3"/>
    <mergeCell ref="A1:AB1"/>
    <mergeCell ref="C2:D2"/>
    <mergeCell ref="E2:F2"/>
    <mergeCell ref="G2:N2"/>
    <mergeCell ref="E3:F3"/>
    <mergeCell ref="G3:H3"/>
    <mergeCell ref="I3:J3"/>
    <mergeCell ref="K3:L3"/>
    <mergeCell ref="M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topLeftCell="E1" zoomScaleNormal="100" workbookViewId="0">
      <selection activeCell="Q8" sqref="Q8"/>
    </sheetView>
  </sheetViews>
  <sheetFormatPr defaultColWidth="8.85546875" defaultRowHeight="12.75" x14ac:dyDescent="0.2"/>
  <cols>
    <col min="1" max="1" width="6.7109375" style="190" customWidth="1"/>
    <col min="2" max="2" width="26.28515625" style="190" customWidth="1"/>
    <col min="3" max="4" width="26.28515625" style="190" bestFit="1" customWidth="1"/>
    <col min="5" max="6" width="3.140625" style="1" customWidth="1"/>
    <col min="7" max="16" width="3" style="1" customWidth="1"/>
    <col min="17" max="18" width="4" style="1" customWidth="1"/>
    <col min="19" max="19" width="8.85546875" style="190"/>
    <col min="20" max="23" width="28" style="190" bestFit="1" customWidth="1"/>
    <col min="24" max="16384" width="8.85546875" style="190"/>
  </cols>
  <sheetData>
    <row r="1" spans="1:23" ht="128.25" customHeight="1" x14ac:dyDescent="0.2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23" x14ac:dyDescent="0.2">
      <c r="A2" s="32"/>
      <c r="B2" s="32"/>
      <c r="C2" s="230" t="s">
        <v>0</v>
      </c>
      <c r="D2" s="230"/>
      <c r="E2" s="262"/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T2" s="213" t="s">
        <v>206</v>
      </c>
      <c r="U2" s="192"/>
      <c r="V2" s="192"/>
    </row>
    <row r="3" spans="1:23" x14ac:dyDescent="0.2">
      <c r="A3" s="41" t="s">
        <v>5</v>
      </c>
      <c r="B3" s="41" t="s">
        <v>6</v>
      </c>
      <c r="C3" s="213" t="s">
        <v>7</v>
      </c>
      <c r="D3" s="213" t="s">
        <v>8</v>
      </c>
      <c r="E3" s="232" t="s">
        <v>4</v>
      </c>
      <c r="F3" s="232"/>
      <c r="G3" s="264">
        <v>1</v>
      </c>
      <c r="H3" s="264"/>
      <c r="I3" s="232">
        <v>2</v>
      </c>
      <c r="J3" s="232"/>
      <c r="K3" s="264">
        <v>3</v>
      </c>
      <c r="L3" s="264"/>
      <c r="M3" s="232">
        <v>4</v>
      </c>
      <c r="N3" s="232"/>
      <c r="O3" s="264">
        <v>5</v>
      </c>
      <c r="P3" s="264"/>
      <c r="Q3" s="232" t="s">
        <v>9</v>
      </c>
      <c r="R3" s="232"/>
      <c r="T3" s="192"/>
      <c r="U3" s="223" t="s">
        <v>407</v>
      </c>
      <c r="V3" s="192"/>
    </row>
    <row r="4" spans="1:23" x14ac:dyDescent="0.2">
      <c r="A4" s="41" t="s">
        <v>406</v>
      </c>
      <c r="B4" s="2" t="s">
        <v>160</v>
      </c>
      <c r="C4" s="213" t="s">
        <v>206</v>
      </c>
      <c r="D4" s="213" t="s">
        <v>149</v>
      </c>
      <c r="E4" s="214">
        <v>0</v>
      </c>
      <c r="F4" s="214">
        <v>3</v>
      </c>
      <c r="G4" s="8">
        <v>20</v>
      </c>
      <c r="H4" s="8">
        <v>25</v>
      </c>
      <c r="I4" s="214">
        <v>13</v>
      </c>
      <c r="J4" s="214">
        <v>25</v>
      </c>
      <c r="K4" s="8">
        <v>15</v>
      </c>
      <c r="L4" s="8">
        <v>25</v>
      </c>
      <c r="M4" s="214">
        <v>0</v>
      </c>
      <c r="N4" s="214">
        <v>0</v>
      </c>
      <c r="O4" s="8">
        <v>0</v>
      </c>
      <c r="P4" s="8">
        <v>0</v>
      </c>
      <c r="Q4" s="215">
        <f t="shared" ref="Q4:R9" si="0">G4+I4+K4+M4+O4</f>
        <v>48</v>
      </c>
      <c r="R4" s="215">
        <f t="shared" si="0"/>
        <v>75</v>
      </c>
      <c r="T4" s="213" t="s">
        <v>407</v>
      </c>
    </row>
    <row r="5" spans="1:23" x14ac:dyDescent="0.2">
      <c r="A5" s="41" t="s">
        <v>405</v>
      </c>
      <c r="B5" s="2" t="s">
        <v>413</v>
      </c>
      <c r="C5" s="213" t="s">
        <v>172</v>
      </c>
      <c r="D5" s="216" t="s">
        <v>150</v>
      </c>
      <c r="E5" s="214">
        <v>0</v>
      </c>
      <c r="F5" s="214">
        <v>3</v>
      </c>
      <c r="G5" s="8">
        <v>12</v>
      </c>
      <c r="H5" s="8">
        <v>25</v>
      </c>
      <c r="I5" s="214">
        <v>23</v>
      </c>
      <c r="J5" s="214">
        <v>25</v>
      </c>
      <c r="K5" s="8">
        <v>15</v>
      </c>
      <c r="L5" s="8">
        <v>25</v>
      </c>
      <c r="M5" s="214">
        <v>0</v>
      </c>
      <c r="N5" s="214">
        <v>0</v>
      </c>
      <c r="O5" s="8">
        <v>0</v>
      </c>
      <c r="P5" s="8">
        <v>0</v>
      </c>
      <c r="Q5" s="215">
        <f t="shared" si="0"/>
        <v>50</v>
      </c>
      <c r="R5" s="215">
        <f t="shared" si="0"/>
        <v>75</v>
      </c>
      <c r="T5" s="192"/>
      <c r="U5" s="192"/>
      <c r="V5" s="225" t="s">
        <v>369</v>
      </c>
    </row>
    <row r="6" spans="1:23" x14ac:dyDescent="0.2">
      <c r="A6" s="41" t="s">
        <v>404</v>
      </c>
      <c r="B6" s="2" t="s">
        <v>413</v>
      </c>
      <c r="C6" s="213" t="s">
        <v>149</v>
      </c>
      <c r="D6" s="213" t="s">
        <v>369</v>
      </c>
      <c r="E6" s="214">
        <v>0</v>
      </c>
      <c r="F6" s="214">
        <v>3</v>
      </c>
      <c r="G6" s="8">
        <v>20</v>
      </c>
      <c r="H6" s="8">
        <v>25</v>
      </c>
      <c r="I6" s="214">
        <v>16</v>
      </c>
      <c r="J6" s="214">
        <v>25</v>
      </c>
      <c r="K6" s="8">
        <v>17</v>
      </c>
      <c r="L6" s="8">
        <v>25</v>
      </c>
      <c r="M6" s="214">
        <v>0</v>
      </c>
      <c r="N6" s="214">
        <v>0</v>
      </c>
      <c r="O6" s="8">
        <v>0</v>
      </c>
      <c r="P6" s="8">
        <v>0</v>
      </c>
      <c r="Q6" s="215">
        <f t="shared" si="0"/>
        <v>53</v>
      </c>
      <c r="R6" s="215">
        <f t="shared" si="0"/>
        <v>75</v>
      </c>
      <c r="T6" s="213" t="s">
        <v>400</v>
      </c>
      <c r="U6" s="192"/>
      <c r="V6" s="192"/>
    </row>
    <row r="7" spans="1:23" x14ac:dyDescent="0.2">
      <c r="A7" s="41" t="s">
        <v>403</v>
      </c>
      <c r="B7" s="2" t="s">
        <v>417</v>
      </c>
      <c r="C7" s="225" t="s">
        <v>369</v>
      </c>
      <c r="D7" s="225" t="s">
        <v>150</v>
      </c>
      <c r="E7" s="214">
        <v>3</v>
      </c>
      <c r="F7" s="214">
        <v>1</v>
      </c>
      <c r="G7" s="8"/>
      <c r="H7" s="8"/>
      <c r="I7" s="214"/>
      <c r="J7" s="14"/>
      <c r="K7" s="8"/>
      <c r="L7" s="8"/>
      <c r="M7" s="214"/>
      <c r="N7" s="214"/>
      <c r="O7" s="8"/>
      <c r="P7" s="8"/>
      <c r="Q7" s="215">
        <f t="shared" si="0"/>
        <v>0</v>
      </c>
      <c r="R7" s="215">
        <f t="shared" si="0"/>
        <v>0</v>
      </c>
      <c r="T7" s="192"/>
      <c r="U7" s="213" t="s">
        <v>369</v>
      </c>
    </row>
    <row r="8" spans="1:23" x14ac:dyDescent="0.2">
      <c r="A8" s="41" t="s">
        <v>402</v>
      </c>
      <c r="B8" s="2" t="s">
        <v>415</v>
      </c>
      <c r="C8" s="225" t="s">
        <v>150</v>
      </c>
      <c r="D8" s="225" t="s">
        <v>369</v>
      </c>
      <c r="E8" s="214">
        <v>1</v>
      </c>
      <c r="F8" s="214">
        <v>3</v>
      </c>
      <c r="G8" s="8">
        <v>26</v>
      </c>
      <c r="H8" s="8">
        <v>24</v>
      </c>
      <c r="I8" s="214">
        <v>14</v>
      </c>
      <c r="J8" s="14">
        <v>25</v>
      </c>
      <c r="K8" s="8">
        <v>20</v>
      </c>
      <c r="L8" s="8">
        <v>25</v>
      </c>
      <c r="M8" s="214">
        <v>19</v>
      </c>
      <c r="N8" s="214">
        <v>25</v>
      </c>
      <c r="O8" s="8">
        <v>0</v>
      </c>
      <c r="P8" s="8">
        <v>0</v>
      </c>
      <c r="Q8" s="215">
        <f t="shared" si="0"/>
        <v>79</v>
      </c>
      <c r="R8" s="215">
        <f t="shared" si="0"/>
        <v>99</v>
      </c>
      <c r="T8" s="213" t="s">
        <v>369</v>
      </c>
      <c r="U8" s="192"/>
      <c r="V8" s="227" t="s">
        <v>421</v>
      </c>
    </row>
    <row r="9" spans="1:23" x14ac:dyDescent="0.2">
      <c r="A9" s="222" t="s">
        <v>401</v>
      </c>
      <c r="B9" s="2" t="s">
        <v>416</v>
      </c>
      <c r="C9" s="225" t="s">
        <v>369</v>
      </c>
      <c r="D9" s="225" t="s">
        <v>150</v>
      </c>
      <c r="E9" s="214" t="s">
        <v>396</v>
      </c>
      <c r="F9" s="214" t="s">
        <v>397</v>
      </c>
      <c r="G9" s="219"/>
      <c r="H9" s="219"/>
      <c r="I9" s="220"/>
      <c r="J9" s="221"/>
      <c r="K9" s="219"/>
      <c r="L9" s="219"/>
      <c r="M9" s="220"/>
      <c r="N9" s="220"/>
      <c r="O9" s="219"/>
      <c r="P9" s="219"/>
      <c r="Q9" s="215">
        <f t="shared" si="0"/>
        <v>0</v>
      </c>
      <c r="R9" s="215">
        <f t="shared" si="0"/>
        <v>0</v>
      </c>
      <c r="V9" s="192"/>
      <c r="W9" s="226" t="s">
        <v>369</v>
      </c>
    </row>
    <row r="10" spans="1:23" x14ac:dyDescent="0.2">
      <c r="T10" s="224" t="s">
        <v>172</v>
      </c>
      <c r="U10" s="192"/>
      <c r="V10" s="1" t="s">
        <v>422</v>
      </c>
    </row>
    <row r="11" spans="1:23" x14ac:dyDescent="0.2">
      <c r="S11" s="52"/>
      <c r="T11" s="192"/>
      <c r="U11" s="224" t="s">
        <v>172</v>
      </c>
      <c r="V11" s="192"/>
    </row>
    <row r="12" spans="1:23" x14ac:dyDescent="0.2">
      <c r="T12" s="224" t="s">
        <v>400</v>
      </c>
    </row>
    <row r="13" spans="1:23" x14ac:dyDescent="0.2">
      <c r="T13" s="191"/>
      <c r="U13" s="191"/>
      <c r="V13" s="225" t="s">
        <v>150</v>
      </c>
    </row>
    <row r="14" spans="1:23" x14ac:dyDescent="0.2">
      <c r="T14" s="213" t="s">
        <v>400</v>
      </c>
      <c r="U14" s="192"/>
    </row>
    <row r="15" spans="1:23" x14ac:dyDescent="0.2">
      <c r="T15" s="192"/>
      <c r="U15" s="224" t="s">
        <v>150</v>
      </c>
    </row>
    <row r="16" spans="1:23" x14ac:dyDescent="0.2">
      <c r="T16" s="224" t="s">
        <v>150</v>
      </c>
      <c r="U16" s="192"/>
    </row>
  </sheetData>
  <sheetProtection selectLockedCells="1" selectUnlockedCells="1"/>
  <mergeCells count="11">
    <mergeCell ref="A1:R1"/>
    <mergeCell ref="C2:D2"/>
    <mergeCell ref="E2:F2"/>
    <mergeCell ref="G2:R2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showGridLines="0" topLeftCell="C1" zoomScaleNormal="100" workbookViewId="0">
      <selection activeCell="V13" sqref="V13"/>
    </sheetView>
  </sheetViews>
  <sheetFormatPr defaultColWidth="8.85546875" defaultRowHeight="12.75" x14ac:dyDescent="0.2"/>
  <cols>
    <col min="1" max="1" width="6.7109375" style="190" customWidth="1"/>
    <col min="2" max="2" width="31.28515625" style="190" customWidth="1"/>
    <col min="3" max="3" width="23.85546875" style="190" bestFit="1" customWidth="1"/>
    <col min="4" max="4" width="26.28515625" style="190" bestFit="1" customWidth="1"/>
    <col min="5" max="6" width="3.140625" style="1" customWidth="1"/>
    <col min="7" max="16" width="3" style="1" customWidth="1"/>
    <col min="17" max="18" width="4" style="1" customWidth="1"/>
    <col min="19" max="19" width="8.85546875" style="190"/>
    <col min="20" max="21" width="26.28515625" style="190" bestFit="1" customWidth="1"/>
    <col min="22" max="22" width="22.85546875" style="190" bestFit="1" customWidth="1"/>
    <col min="23" max="23" width="18.28515625" style="190" customWidth="1"/>
    <col min="24" max="16384" width="8.85546875" style="190"/>
  </cols>
  <sheetData>
    <row r="1" spans="1:22" ht="128.25" customHeight="1" x14ac:dyDescent="0.2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22" x14ac:dyDescent="0.2">
      <c r="A2" s="32"/>
      <c r="B2" s="32"/>
      <c r="C2" s="230" t="s">
        <v>0</v>
      </c>
      <c r="D2" s="230"/>
      <c r="E2" s="262"/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T2" s="213" t="s">
        <v>198</v>
      </c>
      <c r="U2" s="192"/>
      <c r="V2" s="192"/>
    </row>
    <row r="3" spans="1:22" x14ac:dyDescent="0.2">
      <c r="A3" s="41" t="s">
        <v>5</v>
      </c>
      <c r="B3" s="41" t="s">
        <v>6</v>
      </c>
      <c r="C3" s="213" t="s">
        <v>7</v>
      </c>
      <c r="D3" s="213" t="s">
        <v>8</v>
      </c>
      <c r="E3" s="232" t="s">
        <v>4</v>
      </c>
      <c r="F3" s="232"/>
      <c r="G3" s="264">
        <v>1</v>
      </c>
      <c r="H3" s="264"/>
      <c r="I3" s="232">
        <v>2</v>
      </c>
      <c r="J3" s="232"/>
      <c r="K3" s="264">
        <v>3</v>
      </c>
      <c r="L3" s="264"/>
      <c r="M3" s="232">
        <v>4</v>
      </c>
      <c r="N3" s="232"/>
      <c r="O3" s="264">
        <v>5</v>
      </c>
      <c r="P3" s="264"/>
      <c r="Q3" s="232" t="s">
        <v>9</v>
      </c>
      <c r="R3" s="232"/>
      <c r="T3" s="192"/>
      <c r="U3" s="225" t="s">
        <v>150</v>
      </c>
      <c r="V3" s="192"/>
    </row>
    <row r="4" spans="1:22" x14ac:dyDescent="0.2">
      <c r="A4" s="41" t="s">
        <v>408</v>
      </c>
      <c r="B4" s="2" t="s">
        <v>413</v>
      </c>
      <c r="C4" s="213" t="s">
        <v>198</v>
      </c>
      <c r="D4" s="213" t="s">
        <v>150</v>
      </c>
      <c r="E4" s="214">
        <v>2</v>
      </c>
      <c r="F4" s="214">
        <v>3</v>
      </c>
      <c r="G4" s="8">
        <v>26</v>
      </c>
      <c r="H4" s="8">
        <v>24</v>
      </c>
      <c r="I4" s="214">
        <v>25</v>
      </c>
      <c r="J4" s="214">
        <v>23</v>
      </c>
      <c r="K4" s="8">
        <v>20</v>
      </c>
      <c r="L4" s="8">
        <v>25</v>
      </c>
      <c r="M4" s="214">
        <v>20</v>
      </c>
      <c r="N4" s="214">
        <v>25</v>
      </c>
      <c r="O4" s="8">
        <v>9</v>
      </c>
      <c r="P4" s="8">
        <v>15</v>
      </c>
      <c r="Q4" s="215">
        <f t="shared" ref="Q4:R7" si="0">G4+I4+K4+M4+O4</f>
        <v>100</v>
      </c>
      <c r="R4" s="215">
        <f t="shared" si="0"/>
        <v>112</v>
      </c>
      <c r="T4" s="213" t="s">
        <v>150</v>
      </c>
      <c r="U4" s="1" t="s">
        <v>423</v>
      </c>
    </row>
    <row r="5" spans="1:22" x14ac:dyDescent="0.2">
      <c r="A5" s="41" t="s">
        <v>409</v>
      </c>
      <c r="B5" s="2" t="s">
        <v>414</v>
      </c>
      <c r="C5" s="225" t="s">
        <v>150</v>
      </c>
      <c r="D5" s="213" t="s">
        <v>152</v>
      </c>
      <c r="E5" s="214">
        <v>3</v>
      </c>
      <c r="F5" s="214">
        <v>0</v>
      </c>
      <c r="G5" s="8">
        <v>25</v>
      </c>
      <c r="H5" s="8">
        <v>14</v>
      </c>
      <c r="I5" s="214">
        <v>25</v>
      </c>
      <c r="J5" s="214">
        <v>19</v>
      </c>
      <c r="K5" s="8">
        <v>30</v>
      </c>
      <c r="L5" s="8">
        <v>28</v>
      </c>
      <c r="M5" s="214">
        <v>0</v>
      </c>
      <c r="N5" s="214">
        <v>0</v>
      </c>
      <c r="O5" s="8">
        <v>0</v>
      </c>
      <c r="P5" s="8">
        <v>0</v>
      </c>
      <c r="Q5" s="215">
        <f t="shared" si="0"/>
        <v>80</v>
      </c>
      <c r="R5" s="215">
        <f t="shared" si="0"/>
        <v>61</v>
      </c>
      <c r="T5" s="192"/>
      <c r="U5" s="192"/>
      <c r="V5" s="226" t="s">
        <v>150</v>
      </c>
    </row>
    <row r="6" spans="1:22" x14ac:dyDescent="0.2">
      <c r="A6" s="41" t="s">
        <v>410</v>
      </c>
      <c r="B6" s="2" t="s">
        <v>415</v>
      </c>
      <c r="C6" s="213" t="s">
        <v>152</v>
      </c>
      <c r="D6" s="225" t="s">
        <v>150</v>
      </c>
      <c r="E6" s="214">
        <v>0</v>
      </c>
      <c r="F6" s="214">
        <v>3</v>
      </c>
      <c r="G6" s="8">
        <v>13</v>
      </c>
      <c r="H6" s="8">
        <v>25</v>
      </c>
      <c r="I6" s="214">
        <v>21</v>
      </c>
      <c r="J6" s="214">
        <v>25</v>
      </c>
      <c r="K6" s="8">
        <v>21</v>
      </c>
      <c r="L6" s="8">
        <v>25</v>
      </c>
      <c r="M6" s="214">
        <v>0</v>
      </c>
      <c r="N6" s="214">
        <v>0</v>
      </c>
      <c r="O6" s="8">
        <v>0</v>
      </c>
      <c r="P6" s="8">
        <v>0</v>
      </c>
      <c r="Q6" s="215">
        <f t="shared" si="0"/>
        <v>55</v>
      </c>
      <c r="R6" s="215">
        <f t="shared" si="0"/>
        <v>75</v>
      </c>
      <c r="T6" s="213" t="s">
        <v>400</v>
      </c>
      <c r="U6" s="211" t="s">
        <v>424</v>
      </c>
      <c r="V6" s="192"/>
    </row>
    <row r="7" spans="1:22" x14ac:dyDescent="0.2">
      <c r="A7" s="41" t="s">
        <v>411</v>
      </c>
      <c r="B7" s="2" t="s">
        <v>416</v>
      </c>
      <c r="C7" s="225" t="s">
        <v>150</v>
      </c>
      <c r="D7" s="213" t="s">
        <v>152</v>
      </c>
      <c r="E7" s="214" t="s">
        <v>396</v>
      </c>
      <c r="F7" s="214" t="s">
        <v>397</v>
      </c>
      <c r="G7" s="8"/>
      <c r="H7" s="8"/>
      <c r="I7" s="214"/>
      <c r="J7" s="14"/>
      <c r="K7" s="8"/>
      <c r="L7" s="8"/>
      <c r="M7" s="214"/>
      <c r="N7" s="214"/>
      <c r="O7" s="8"/>
      <c r="P7" s="8"/>
      <c r="Q7" s="215">
        <f t="shared" si="0"/>
        <v>0</v>
      </c>
      <c r="R7" s="215">
        <f t="shared" si="0"/>
        <v>0</v>
      </c>
      <c r="T7" s="192"/>
      <c r="U7" s="213" t="s">
        <v>152</v>
      </c>
      <c r="V7" s="192"/>
    </row>
    <row r="8" spans="1:22" x14ac:dyDescent="0.2">
      <c r="T8" s="213" t="s">
        <v>152</v>
      </c>
      <c r="U8" s="192"/>
    </row>
    <row r="9" spans="1:22" x14ac:dyDescent="0.2">
      <c r="V9" s="192"/>
    </row>
    <row r="11" spans="1:22" x14ac:dyDescent="0.2">
      <c r="S11" s="52"/>
    </row>
  </sheetData>
  <sheetProtection selectLockedCells="1" selectUnlockedCells="1"/>
  <mergeCells count="11">
    <mergeCell ref="Q3:R3"/>
    <mergeCell ref="A1:R1"/>
    <mergeCell ref="C2:D2"/>
    <mergeCell ref="E2:F2"/>
    <mergeCell ref="G2:R2"/>
    <mergeCell ref="E3:F3"/>
    <mergeCell ref="G3:H3"/>
    <mergeCell ref="I3:J3"/>
    <mergeCell ref="K3:L3"/>
    <mergeCell ref="M3:N3"/>
    <mergeCell ref="O3:P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showGridLines="0" workbookViewId="0">
      <selection activeCell="Q4" sqref="Q4"/>
    </sheetView>
  </sheetViews>
  <sheetFormatPr defaultColWidth="8.85546875" defaultRowHeight="12.75" x14ac:dyDescent="0.2"/>
  <cols>
    <col min="1" max="1" width="7" customWidth="1"/>
    <col min="2" max="2" width="14.7109375" customWidth="1"/>
    <col min="3" max="3" width="19.85546875" customWidth="1"/>
    <col min="4" max="4" width="21.140625" customWidth="1"/>
    <col min="5" max="6" width="2" style="1" customWidth="1"/>
    <col min="7" max="14" width="3" style="1" customWidth="1"/>
    <col min="16" max="16" width="2" customWidth="1"/>
    <col min="17" max="17" width="17.42578125" customWidth="1"/>
    <col min="18" max="18" width="5" customWidth="1"/>
    <col min="19" max="19" width="4.7109375" customWidth="1"/>
    <col min="20" max="21" width="4.42578125" customWidth="1"/>
    <col min="22" max="22" width="6.140625" customWidth="1"/>
    <col min="23" max="23" width="4.7109375" customWidth="1"/>
    <col min="24" max="24" width="4.42578125" customWidth="1"/>
    <col min="25" max="25" width="5.140625" customWidth="1"/>
    <col min="26" max="26" width="4.7109375" customWidth="1"/>
    <col min="27" max="27" width="4.42578125" customWidth="1"/>
    <col min="28" max="28" width="5.140625" customWidth="1"/>
  </cols>
  <sheetData>
    <row r="1" spans="1:29" ht="128.25" customHeight="1" x14ac:dyDescent="0.2"/>
    <row r="2" spans="1:29" x14ac:dyDescent="0.2">
      <c r="A2" s="2"/>
      <c r="B2" s="2"/>
      <c r="C2" s="232" t="s">
        <v>0</v>
      </c>
      <c r="D2" s="232"/>
      <c r="E2" s="233"/>
      <c r="F2" s="233"/>
      <c r="G2" s="234"/>
      <c r="H2" s="234"/>
      <c r="I2" s="234"/>
      <c r="J2" s="234"/>
      <c r="K2" s="234"/>
      <c r="L2" s="234"/>
      <c r="M2" s="234"/>
      <c r="N2" s="234"/>
      <c r="O2" s="3"/>
      <c r="P2" s="156"/>
      <c r="Q2" s="156" t="s">
        <v>1</v>
      </c>
      <c r="R2" s="235" t="s">
        <v>2</v>
      </c>
      <c r="S2" s="235"/>
      <c r="T2" s="235"/>
      <c r="U2" s="235"/>
      <c r="V2" s="156" t="s">
        <v>3</v>
      </c>
      <c r="W2" s="229" t="s">
        <v>4</v>
      </c>
      <c r="X2" s="229"/>
      <c r="Y2" s="229"/>
      <c r="Z2" s="229" t="s">
        <v>3</v>
      </c>
      <c r="AA2" s="229"/>
      <c r="AB2" s="229"/>
    </row>
    <row r="3" spans="1:29" x14ac:dyDescent="0.2">
      <c r="A3" s="45" t="s">
        <v>5</v>
      </c>
      <c r="B3" s="45" t="s">
        <v>6</v>
      </c>
      <c r="C3" s="158" t="s">
        <v>7</v>
      </c>
      <c r="D3" s="158" t="s">
        <v>8</v>
      </c>
      <c r="E3" s="236" t="s">
        <v>4</v>
      </c>
      <c r="F3" s="236"/>
      <c r="G3" s="237">
        <v>1</v>
      </c>
      <c r="H3" s="237"/>
      <c r="I3" s="236">
        <v>2</v>
      </c>
      <c r="J3" s="236"/>
      <c r="K3" s="237">
        <v>3</v>
      </c>
      <c r="L3" s="237"/>
      <c r="M3" s="236" t="s">
        <v>9</v>
      </c>
      <c r="N3" s="236"/>
      <c r="O3" s="3"/>
      <c r="P3" s="156" t="s">
        <v>10</v>
      </c>
      <c r="Q3" s="156" t="s">
        <v>11</v>
      </c>
      <c r="R3" s="155" t="s">
        <v>9</v>
      </c>
      <c r="S3" s="156" t="s">
        <v>12</v>
      </c>
      <c r="T3" s="156" t="s">
        <v>13</v>
      </c>
      <c r="U3" s="5" t="s">
        <v>14</v>
      </c>
      <c r="V3" s="156" t="s">
        <v>15</v>
      </c>
      <c r="W3" s="156" t="s">
        <v>12</v>
      </c>
      <c r="X3" s="6" t="s">
        <v>13</v>
      </c>
      <c r="Y3" s="156" t="s">
        <v>16</v>
      </c>
      <c r="Z3" s="156" t="s">
        <v>12</v>
      </c>
      <c r="AA3" s="6" t="s">
        <v>13</v>
      </c>
      <c r="AB3" s="156" t="s">
        <v>16</v>
      </c>
    </row>
    <row r="4" spans="1:29" x14ac:dyDescent="0.2">
      <c r="A4" s="27" t="s">
        <v>78</v>
      </c>
      <c r="B4" s="27" t="s">
        <v>79</v>
      </c>
      <c r="C4" s="154"/>
      <c r="D4" s="154"/>
      <c r="E4" s="29">
        <f t="shared" ref="E4:E33" si="0">SUM(IF(G4&gt;H4,1,0))+SUM(IF(I4&gt;J4,1,0))+SUM(IF(K4&gt;L4,1,0))</f>
        <v>0</v>
      </c>
      <c r="F4" s="29">
        <f t="shared" ref="F4:F33" si="1">SUM(IF(H4&gt;G4,1,0))+SUM(IF(J4&gt;I4,1,0))+SUM(IF(L4&gt;K4,1,0))</f>
        <v>0</v>
      </c>
      <c r="G4" s="8"/>
      <c r="H4" s="8"/>
      <c r="I4" s="154"/>
      <c r="J4" s="154"/>
      <c r="K4" s="8"/>
      <c r="L4" s="8"/>
      <c r="M4" s="154">
        <f t="shared" ref="M4:M33" si="2">G4+I4+K4</f>
        <v>0</v>
      </c>
      <c r="N4" s="154">
        <f t="shared" ref="N4:N33" si="3">H4+J4+L4</f>
        <v>0</v>
      </c>
      <c r="O4" s="9"/>
      <c r="P4" s="153">
        <v>1</v>
      </c>
      <c r="Q4" s="153"/>
      <c r="R4" s="154">
        <f>S4+T4+U4</f>
        <v>0</v>
      </c>
      <c r="S4" s="154">
        <f>COUNTIF($E$5,"=2")+COUNTIF($F$7,"=2")+COUNTIF($F$11,"=2")+COUNTIF($E$13,"=2")+COUNTIF($F$15,"=2")+COUNTIF($E$17,"=2")+COUNTIF($E$21,"=2")+COUNTIF($F$23,"=2")+COUNTIF($E$25,"=2")+COUNTIF($F$27,"=2")+COUNTIF($F$31,"=2")+COUNTIF($E$33,"=2")</f>
        <v>0</v>
      </c>
      <c r="T4" s="154">
        <f>SUM(IF($E$5&lt;$F$5,1,0))+SUM(IF($F$7&lt;$E$7,1,0))+SUM(IF($F$11&lt;$E$11,1,0))+SUM(IF($E$13&lt;$F$13,1,0))+SUM(IF($F$15&lt;$E$15,1,0))+SUM(IF($E$17&lt;$F$17,1,0))+SUM(IF($E$21&lt;$F$21,1,0))+SUM(IF($F$23&lt;$E$23,1,0))+SUM(IF($E$25&lt;$F$25,1,0))+SUM(IF($F$27&lt;$E$27,1,0))+SUM(IF($F$31&lt;$E$31,1,0))+SUM(IF($E$33&lt;$F$33,1,0))</f>
        <v>0</v>
      </c>
      <c r="U4" s="154"/>
      <c r="V4" s="153">
        <f>(S4*$R$15)+(T4*$R$16)</f>
        <v>0</v>
      </c>
      <c r="W4" s="154">
        <f>$E$5+$F$7+$F$11+$E$13+$F$15+$E$17+$E$21+$F$23+$E$25+$F$27+$F$31+$E$33</f>
        <v>0</v>
      </c>
      <c r="X4" s="154">
        <f>$F$5+$E$7+$E$11+$F$13+$E$15+$F$17+$F$21+$E$23+$F$25+$E$27+$E$31+$F$33</f>
        <v>0</v>
      </c>
      <c r="Y4" s="154" t="str">
        <f>IF(X4=0,"MAX",W4/X4)</f>
        <v>MAX</v>
      </c>
      <c r="Z4" s="154">
        <f>$M$5+$N$7+$N$11+$M$13+$N$15+$M$17+$M$21+$N$23+$M$25+$N$27+$N$31+$M$33</f>
        <v>0</v>
      </c>
      <c r="AA4" s="154">
        <f>$N$5+$M$7+$M$11+$N$13+$M$15+$N$17+$N$21+$M$23+$N$25+$M$27+$M$31+$N$33</f>
        <v>0</v>
      </c>
      <c r="AB4" s="154" t="str">
        <f>IF(AA4=0,"MAX",Z4/AA4)</f>
        <v>MAX</v>
      </c>
    </row>
    <row r="5" spans="1:29" x14ac:dyDescent="0.2">
      <c r="A5" s="27" t="s">
        <v>80</v>
      </c>
      <c r="B5" s="27" t="s">
        <v>79</v>
      </c>
      <c r="C5" s="154"/>
      <c r="D5" s="154"/>
      <c r="E5" s="29">
        <f t="shared" si="0"/>
        <v>0</v>
      </c>
      <c r="F5" s="29">
        <f t="shared" si="1"/>
        <v>0</v>
      </c>
      <c r="G5" s="8"/>
      <c r="H5" s="8"/>
      <c r="I5" s="154"/>
      <c r="J5" s="154"/>
      <c r="K5" s="8"/>
      <c r="L5" s="8"/>
      <c r="M5" s="154">
        <f t="shared" si="2"/>
        <v>0</v>
      </c>
      <c r="N5" s="154">
        <f t="shared" si="3"/>
        <v>0</v>
      </c>
      <c r="O5" s="9"/>
      <c r="P5" s="153">
        <v>2</v>
      </c>
      <c r="Q5" s="157"/>
      <c r="R5" s="15">
        <f>S5+T5+U5</f>
        <v>0</v>
      </c>
      <c r="S5" s="15">
        <f>COUNTIF($F$6,"=2")+COUNTIF($E$9,"=2")+COUNTIF($F$10,"=2")+COUNTIF($F$13,"=2")+COUNTIF($E$16,"=2")+COUNTIF($F$19,"=2")+COUNTIF($E$20,"=2")+COUNTIF($E$23,"=2")+COUNTIF($F$26,"=2")+COUNTIF($E$29,"=2")+COUNTIF($F$30,"=2")+COUNTIF($F$33,"=2")</f>
        <v>0</v>
      </c>
      <c r="T5" s="15">
        <f>SUM(IF($F$6&lt;$E$6,1,0))+SUM(IF($E$9&lt;$F$9,1,0))+SUM(IF($F$10&lt;$E$10,1,0))+SUM(IF($F$13&lt;$E$13,1,0))+SUM(IF($E$16&lt;$F$16,1,0))+SUM(IF($F$19&lt;$E$19,1,0))+SUM(IF($E$20&lt;$F$20,1,0))+SUM(IF($E$23&lt;$F$23,1,0))+SUM(IF($F$26&lt;$E$26,1,0))+SUM(IF($E$29&lt;$F$29,1,0))+SUM(IF($F$30&lt;$E$30,1,0))+SUM(IF($F$33&lt;$E$33,1,0))</f>
        <v>0</v>
      </c>
      <c r="U5" s="15"/>
      <c r="V5" s="157">
        <f>(S5*$R$15)+(T5*$R$16)</f>
        <v>0</v>
      </c>
      <c r="W5" s="15">
        <f>$F$6+$E$9+$F$10+$F$13+$E$16+$F$19+$E$20+$E$23+$F$26+$E$29+$F$30+$F$33</f>
        <v>0</v>
      </c>
      <c r="X5" s="15">
        <f>$E$6+$F$9+$E$10+$E$13+$F$16+$E$19+$F$20+$F$23+$E$26+$F$29+$E$30+$E$33</f>
        <v>0</v>
      </c>
      <c r="Y5" s="15" t="str">
        <f>IF(X5=0,"MAX",W5/X5)</f>
        <v>MAX</v>
      </c>
      <c r="Z5" s="15">
        <f>$N$6+$M$9+$N$10+$N$13+$M$16+$N$19+$M$20+$M$23+$N$26+$M$29+$N$30+$N$33</f>
        <v>0</v>
      </c>
      <c r="AA5" s="15">
        <f>$M$6+$N$9+$M$10+$M$13+$N$16+$M$19+$N$20+$N$23+$M$26+$N$29+$M$30+$M$33</f>
        <v>0</v>
      </c>
      <c r="AB5" s="15" t="str">
        <f>IF(AA5=0,"MAX",Z5/AA5)</f>
        <v>MAX</v>
      </c>
    </row>
    <row r="6" spans="1:29" x14ac:dyDescent="0.2">
      <c r="A6" s="27" t="s">
        <v>81</v>
      </c>
      <c r="B6" s="27" t="s">
        <v>79</v>
      </c>
      <c r="C6" s="154"/>
      <c r="D6" s="154"/>
      <c r="E6" s="29">
        <f t="shared" si="0"/>
        <v>0</v>
      </c>
      <c r="F6" s="29">
        <f t="shared" si="1"/>
        <v>0</v>
      </c>
      <c r="G6" s="8"/>
      <c r="H6" s="8"/>
      <c r="I6" s="154"/>
      <c r="J6" s="154"/>
      <c r="K6" s="8"/>
      <c r="L6" s="8"/>
      <c r="M6" s="154">
        <f t="shared" si="2"/>
        <v>0</v>
      </c>
      <c r="N6" s="154">
        <f t="shared" si="3"/>
        <v>0</v>
      </c>
      <c r="O6" s="9"/>
      <c r="P6" s="153">
        <v>3</v>
      </c>
      <c r="Q6" s="153"/>
      <c r="R6" s="154">
        <f>S6+T6+U6</f>
        <v>0</v>
      </c>
      <c r="S6" s="154">
        <f>COUNTIF($E$4,"=2")+COUNTIF($E$6,"=2")+COUNTIF($F$8,"=2")+COUNTIF($E$11,"=2")+COUNTIF($F$14,"=2")+COUNTIF($F$16,"=2")+COUNTIF($E$18,"=2")+COUNTIF($F$21,"=2")+COUNTIF($E$24,"=2")+COUNTIF($E$26,"=2")+COUNTIF($F$28,"=2")+COUNTIF($E$31,"=2")</f>
        <v>0</v>
      </c>
      <c r="T6" s="154">
        <f>SUM(IF($E$4&lt;$F$4,1,0))+SUM(IF($E$6&lt;$F$6,1,0))+SUM(IF($F$8&lt;$E$8,1,0))+SUM(IF($E$11&lt;$F$11,1,0))+SUM(IF($F$14&lt;$E$14,1,0))+SUM(IF($F$16&lt;$E$16,1,0))+SUM(IF($E$18&lt;$F$18,1,0))+SUM(IF($F$21&lt;$E$21,1,0))+SUM(IF($E$24&lt;$F$24,1,0))+SUM(IF($E$26&lt;$F$26,1,0))+SUM(IF($F$28&lt;$E$28,1,0))+SUM(IF($E$31&lt;$F$31,1,0))</f>
        <v>0</v>
      </c>
      <c r="U6" s="154"/>
      <c r="V6" s="153">
        <f>(S6*$R$15)+(T6*$R$16)</f>
        <v>0</v>
      </c>
      <c r="W6" s="154">
        <f>$E$4+$E$6+$F$8+$E$11+$F$14+$F$16+$E$18+$F$21+$E$24+$E$26+$F$28+$E$31</f>
        <v>0</v>
      </c>
      <c r="X6" s="154">
        <f>$F$4+$F$6+$E$8+$F$11+$E$14+$E$16+$F$18+$E$21+$F$24+$F$26+$E$28+$F$31</f>
        <v>0</v>
      </c>
      <c r="Y6" s="154" t="str">
        <f>IF(X6=0,"MAX",W6/X6)</f>
        <v>MAX</v>
      </c>
      <c r="Z6" s="154">
        <f>$M$4+$M$6+$N$8+$M$11+$N$14+$N$16+$M$18+$N$21+$M$24+$M$26+$N$28+$M$31</f>
        <v>0</v>
      </c>
      <c r="AA6" s="154">
        <f>$N$4+$N$6+$M$8+$N$11+$M$14+$M$16+$N$18+$M$21+$N$24+$N$26+$M$28+$N$31</f>
        <v>0</v>
      </c>
      <c r="AB6" s="154" t="str">
        <f>IF(AA6=0,"MAX",Z6/AA6)</f>
        <v>MAX</v>
      </c>
    </row>
    <row r="7" spans="1:29" x14ac:dyDescent="0.2">
      <c r="A7" s="27" t="s">
        <v>82</v>
      </c>
      <c r="B7" s="27" t="s">
        <v>79</v>
      </c>
      <c r="C7" s="154"/>
      <c r="D7" s="154"/>
      <c r="E7" s="29">
        <f t="shared" si="0"/>
        <v>0</v>
      </c>
      <c r="F7" s="29">
        <f t="shared" si="1"/>
        <v>0</v>
      </c>
      <c r="G7" s="8"/>
      <c r="H7" s="8"/>
      <c r="I7" s="154"/>
      <c r="J7" s="14"/>
      <c r="K7" s="8"/>
      <c r="L7" s="8"/>
      <c r="M7" s="154">
        <f t="shared" si="2"/>
        <v>0</v>
      </c>
      <c r="N7" s="15">
        <f t="shared" si="3"/>
        <v>0</v>
      </c>
      <c r="O7" s="9"/>
      <c r="P7" s="157">
        <v>4</v>
      </c>
      <c r="Q7" s="153"/>
      <c r="R7" s="154">
        <f>S7+T7+U7</f>
        <v>0</v>
      </c>
      <c r="S7" s="154">
        <f>COUNTIF($F$5,"=2")+COUNTIF($E$8,"=2")+COUNTIF($E$10,"=2")+COUNTIF($E$12,"=2")+COUNTIF($E$15,"=2")+COUNTIF($F$18,"=2")+COUNTIF($F$20,"=2")+COUNTIF($F$22,"=2")+COUNTIF($F$25,"=2")+COUNTIF($E$28,"=2")+COUNTIF($E$30,"=2")+COUNTIF($E$32,"=2")</f>
        <v>0</v>
      </c>
      <c r="T7" s="154">
        <f>SUM(IF($F$5&lt;$E$5,1,0))+SUM(IF($E$8&lt;$F$8,1,0))+SUM(IF($E$10&lt;$F$10,1,0))+SUM(IF($E$12&lt;$F$12,1,0))+SUM(IF($E$15&lt;$F$15,1,0))+SUM(IF($F$18&lt;$E$18,1,0))+SUM(IF($F$20&lt;$E$20,1,0))+SUM(IF($F$22&lt;$E$22,1,0))+SUM(IF($F$25&lt;$E$25,1,0))+SUM(IF($E$28&lt;$F$28,1,0))+SUM(IF($E$30&lt;$F$30,1,0))+SUM(IF($E$32&lt;$F$32,1,0))</f>
        <v>0</v>
      </c>
      <c r="U7" s="154"/>
      <c r="V7" s="153">
        <f>(S7*$R$15)+(T7*$R$16)</f>
        <v>0</v>
      </c>
      <c r="W7" s="154">
        <f>$F$5+$E$8+$E$10+$E$12+$E$15+$F$18+$F$20+$F$22+$F$25+$E$28+$E$30+$E$32</f>
        <v>0</v>
      </c>
      <c r="X7" s="154">
        <f>$E$5+$F$8+$F$10+$F$12+$F$15+$E$18+$E$20+$E$22+$E$25+$F$28+$F$30+$F$32</f>
        <v>0</v>
      </c>
      <c r="Y7" s="154" t="str">
        <f>IF(X7=0,"MAX",W7/X7)</f>
        <v>MAX</v>
      </c>
      <c r="Z7" s="154">
        <f>$N$5+$M$8+$M$10+$M$12+$M$15+$N$18+$N$20+$N$22+$N$25+$M$28+$M$30+$M$32</f>
        <v>0</v>
      </c>
      <c r="AA7" s="154">
        <f>$M$5+$N$8+$N$10+$N$12+$N$15+$M$18+$M$20+$M$22+$M$25+$N$28+$N$30+$N$32</f>
        <v>0</v>
      </c>
      <c r="AB7" s="154" t="str">
        <f>IF(AA7=0,"MAX",Z7/AA7)</f>
        <v>MAX</v>
      </c>
    </row>
    <row r="8" spans="1:29" x14ac:dyDescent="0.2">
      <c r="A8" s="27" t="s">
        <v>83</v>
      </c>
      <c r="B8" s="27" t="s">
        <v>79</v>
      </c>
      <c r="C8" s="154"/>
      <c r="D8" s="154"/>
      <c r="E8" s="29">
        <f t="shared" si="0"/>
        <v>0</v>
      </c>
      <c r="F8" s="29">
        <f t="shared" si="1"/>
        <v>0</v>
      </c>
      <c r="G8" s="8"/>
      <c r="H8" s="8"/>
      <c r="I8" s="154"/>
      <c r="J8" s="14"/>
      <c r="K8" s="8"/>
      <c r="L8" s="8"/>
      <c r="M8" s="46">
        <f t="shared" si="2"/>
        <v>0</v>
      </c>
      <c r="N8" s="154">
        <f t="shared" si="3"/>
        <v>0</v>
      </c>
      <c r="O8" s="9"/>
      <c r="P8" s="153">
        <v>5</v>
      </c>
      <c r="Q8" s="153"/>
      <c r="R8" s="154">
        <f>S8+T8+U8</f>
        <v>0</v>
      </c>
      <c r="S8" s="154">
        <f>COUNTIF($F$4,"=2")+COUNTIF($E$7,"=2")+COUNTIF($F$9,"=2")+COUNTIF($F$12,"=2")+COUNTIF($E$14,"=2")+COUNTIF($F$17,"=2")+COUNTIF($E$19,"=2")+COUNTIF($E$22,"=2")+COUNTIF($F$24,"=2")+COUNTIF($E$27,"=2")+COUNTIF($F$29,"=2")+COUNTIF($F$32,"=2")</f>
        <v>0</v>
      </c>
      <c r="T8" s="154">
        <f>SUM(IF($F$4&lt;$E$4,1,0))+SUM(IF($E$7&lt;$F$7,1,0))+SUM(IF($F$9&lt;$E$9,1,0))+SUM(IF($F$12&lt;$E$12,1,0))+SUM(IF($E$14&lt;$F$14,1,0))+SUM(IF($F$17&lt;$E$17,1,0))+SUM(IF($E$19&lt;$F$19,1,0))+SUM(IF($E$22&lt;$F$22,1,0))+SUM(IF($F$24&lt;$E$24,1,0))+SUM(IF($E$27&lt;$F$27,1,0))+SUM(IF($F$29&lt;$E$29,1,0))+SUM(IF($F$32&lt;$E$32,1,0))</f>
        <v>0</v>
      </c>
      <c r="U8" s="154"/>
      <c r="V8" s="153">
        <f>(S8*$R$15)+(T8*$R$16)</f>
        <v>0</v>
      </c>
      <c r="W8" s="154">
        <f>$F$4+$E$7+$F$9+$F$12+$E$14+$F$17+$E$19+$E$22+$F$24+$E$27+$F$29+$F$32</f>
        <v>0</v>
      </c>
      <c r="X8" s="154">
        <f>$E$4+$F$7+$E$9+$E$12+$F$14+$E$17+$F$19+$F$22+$E$24+$F$27+$E$29+$E$32</f>
        <v>0</v>
      </c>
      <c r="Y8" s="154" t="str">
        <f>IF(X8=0,"MAX",W8/X8)</f>
        <v>MAX</v>
      </c>
      <c r="Z8" s="154">
        <f>$N$4+$M$7+$N$9+$N$12+$M$14+$N$17+$M$19+$M$22+$N$24+$M$27+$N$29+$N$32</f>
        <v>0</v>
      </c>
      <c r="AA8" s="154">
        <f>$M$4+$N$7+$M$9+$M$12+$N$14+$M$17+$N$19+$N$22+$M$24+$N$27+$M$29+$M$32</f>
        <v>0</v>
      </c>
      <c r="AB8" s="154" t="str">
        <f>IF(AA8=0,"MAX",Z8/AA8)</f>
        <v>MAX</v>
      </c>
    </row>
    <row r="9" spans="1:29" x14ac:dyDescent="0.2">
      <c r="A9" s="27" t="s">
        <v>84</v>
      </c>
      <c r="B9" s="27" t="s">
        <v>79</v>
      </c>
      <c r="C9" s="154"/>
      <c r="D9" s="154"/>
      <c r="E9" s="47">
        <f t="shared" si="0"/>
        <v>0</v>
      </c>
      <c r="F9" s="47">
        <f t="shared" si="1"/>
        <v>0</v>
      </c>
      <c r="G9" s="34"/>
      <c r="H9" s="34"/>
      <c r="I9" s="15"/>
      <c r="J9" s="35"/>
      <c r="K9" s="34"/>
      <c r="L9" s="34"/>
      <c r="M9" s="15">
        <f t="shared" si="2"/>
        <v>0</v>
      </c>
      <c r="N9" s="47">
        <f t="shared" si="3"/>
        <v>0</v>
      </c>
      <c r="O9" s="9"/>
      <c r="P9" s="167"/>
      <c r="Q9" s="48"/>
      <c r="R9" s="3"/>
      <c r="S9" s="3"/>
      <c r="T9" s="3"/>
      <c r="U9" s="3"/>
      <c r="V9" s="167"/>
      <c r="W9" s="3"/>
      <c r="X9" s="3"/>
      <c r="Y9" s="3"/>
      <c r="Z9" s="3"/>
      <c r="AA9" s="3"/>
      <c r="AB9" s="3"/>
      <c r="AC9" s="48"/>
    </row>
    <row r="10" spans="1:29" x14ac:dyDescent="0.2">
      <c r="A10" s="27" t="s">
        <v>85</v>
      </c>
      <c r="B10" s="27" t="s">
        <v>79</v>
      </c>
      <c r="C10" s="154"/>
      <c r="D10" s="154"/>
      <c r="E10" s="154">
        <f t="shared" si="0"/>
        <v>0</v>
      </c>
      <c r="F10" s="154">
        <f t="shared" si="1"/>
        <v>0</v>
      </c>
      <c r="G10" s="8"/>
      <c r="H10" s="8"/>
      <c r="I10" s="154"/>
      <c r="J10" s="14"/>
      <c r="K10" s="8"/>
      <c r="L10" s="8"/>
      <c r="M10" s="154">
        <f t="shared" si="2"/>
        <v>0</v>
      </c>
      <c r="N10" s="154">
        <f t="shared" si="3"/>
        <v>0</v>
      </c>
      <c r="O10" s="9"/>
      <c r="P10" s="167"/>
      <c r="Q10" s="167"/>
      <c r="R10" s="3"/>
      <c r="S10" s="3"/>
      <c r="T10" s="3"/>
      <c r="U10" s="3"/>
      <c r="V10" s="167"/>
      <c r="W10" s="3"/>
      <c r="X10" s="3"/>
      <c r="Y10" s="3"/>
      <c r="Z10" s="3"/>
      <c r="AA10" s="3"/>
      <c r="AB10" s="3"/>
      <c r="AC10" s="48"/>
    </row>
    <row r="11" spans="1:29" x14ac:dyDescent="0.2">
      <c r="A11" s="27" t="s">
        <v>86</v>
      </c>
      <c r="B11" s="27" t="s">
        <v>79</v>
      </c>
      <c r="C11" s="154"/>
      <c r="D11" s="154"/>
      <c r="E11" s="29">
        <f t="shared" si="0"/>
        <v>0</v>
      </c>
      <c r="F11" s="29">
        <f t="shared" si="1"/>
        <v>0</v>
      </c>
      <c r="G11" s="30"/>
      <c r="H11" s="30"/>
      <c r="I11" s="29"/>
      <c r="J11" s="31"/>
      <c r="K11" s="30"/>
      <c r="L11" s="30"/>
      <c r="M11" s="29">
        <f t="shared" si="2"/>
        <v>0</v>
      </c>
      <c r="N11" s="29">
        <f t="shared" si="3"/>
        <v>0</v>
      </c>
      <c r="O11" s="9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x14ac:dyDescent="0.2">
      <c r="A12" s="27" t="s">
        <v>87</v>
      </c>
      <c r="B12" s="27" t="s">
        <v>79</v>
      </c>
      <c r="C12" s="154"/>
      <c r="D12" s="154"/>
      <c r="E12" s="29">
        <f t="shared" si="0"/>
        <v>0</v>
      </c>
      <c r="F12" s="29">
        <f t="shared" si="1"/>
        <v>0</v>
      </c>
      <c r="G12" s="30"/>
      <c r="H12" s="30"/>
      <c r="I12" s="154"/>
      <c r="J12" s="14"/>
      <c r="K12" s="30"/>
      <c r="L12" s="30"/>
      <c r="M12" s="154">
        <f t="shared" si="2"/>
        <v>0</v>
      </c>
      <c r="N12" s="154">
        <f t="shared" si="3"/>
        <v>0</v>
      </c>
      <c r="O12" s="9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x14ac:dyDescent="0.2">
      <c r="A13" s="22" t="s">
        <v>88</v>
      </c>
      <c r="B13" s="22" t="s">
        <v>79</v>
      </c>
      <c r="C13" s="24"/>
      <c r="D13" s="24"/>
      <c r="E13" s="24">
        <f t="shared" si="0"/>
        <v>0</v>
      </c>
      <c r="F13" s="24">
        <f t="shared" si="1"/>
        <v>0</v>
      </c>
      <c r="G13" s="25"/>
      <c r="H13" s="25"/>
      <c r="I13" s="24"/>
      <c r="J13" s="26"/>
      <c r="K13" s="25"/>
      <c r="L13" s="25"/>
      <c r="M13" s="24">
        <f t="shared" si="2"/>
        <v>0</v>
      </c>
      <c r="N13" s="24">
        <f t="shared" si="3"/>
        <v>0</v>
      </c>
      <c r="O13" s="9"/>
      <c r="P13" s="19"/>
      <c r="Q13" s="19"/>
      <c r="R13" s="19"/>
      <c r="S13" s="19"/>
      <c r="T13" s="49"/>
      <c r="U13" s="17"/>
      <c r="V13" s="17"/>
      <c r="W13" s="17"/>
      <c r="X13" s="17"/>
      <c r="Y13" s="17"/>
      <c r="Z13" s="17"/>
      <c r="AA13" s="17"/>
      <c r="AB13" s="17"/>
    </row>
    <row r="14" spans="1:29" x14ac:dyDescent="0.2">
      <c r="A14" s="27" t="s">
        <v>89</v>
      </c>
      <c r="B14" s="27" t="s">
        <v>79</v>
      </c>
      <c r="C14" s="29"/>
      <c r="D14" s="29"/>
      <c r="E14" s="29">
        <f t="shared" si="0"/>
        <v>0</v>
      </c>
      <c r="F14" s="29">
        <f t="shared" si="1"/>
        <v>0</v>
      </c>
      <c r="G14" s="30"/>
      <c r="H14" s="30"/>
      <c r="I14" s="29"/>
      <c r="J14" s="31"/>
      <c r="K14" s="30"/>
      <c r="L14" s="30"/>
      <c r="M14" s="29">
        <f t="shared" si="2"/>
        <v>0</v>
      </c>
      <c r="N14" s="29">
        <f t="shared" si="3"/>
        <v>0</v>
      </c>
      <c r="O14" s="9"/>
      <c r="P14" s="19"/>
      <c r="Q14" s="228" t="s">
        <v>3</v>
      </c>
      <c r="R14" s="228"/>
      <c r="S14" s="19"/>
      <c r="T14" s="49"/>
      <c r="U14" s="17"/>
      <c r="V14" s="17"/>
      <c r="W14" s="17"/>
      <c r="X14" s="17"/>
      <c r="Y14" s="17"/>
      <c r="Z14" s="17"/>
      <c r="AA14" s="17"/>
      <c r="AB14" s="17"/>
    </row>
    <row r="15" spans="1:29" x14ac:dyDescent="0.2">
      <c r="A15" s="27" t="s">
        <v>90</v>
      </c>
      <c r="B15" s="27" t="s">
        <v>79</v>
      </c>
      <c r="C15" s="154"/>
      <c r="D15" s="154"/>
      <c r="E15" s="29">
        <f t="shared" si="0"/>
        <v>0</v>
      </c>
      <c r="F15" s="29">
        <f t="shared" si="1"/>
        <v>0</v>
      </c>
      <c r="G15" s="8"/>
      <c r="H15" s="8"/>
      <c r="I15" s="154"/>
      <c r="J15" s="14"/>
      <c r="K15" s="8"/>
      <c r="L15" s="8"/>
      <c r="M15" s="154">
        <f t="shared" si="2"/>
        <v>0</v>
      </c>
      <c r="N15" s="154">
        <f t="shared" si="3"/>
        <v>0</v>
      </c>
      <c r="O15" s="9"/>
      <c r="P15" s="19"/>
      <c r="Q15" s="50" t="s">
        <v>12</v>
      </c>
      <c r="R15" s="50">
        <v>3</v>
      </c>
      <c r="S15" s="19"/>
      <c r="T15" s="49"/>
      <c r="U15" s="17"/>
      <c r="V15" s="17"/>
      <c r="W15" s="17"/>
      <c r="X15" s="17"/>
      <c r="Y15" s="17"/>
      <c r="Z15" s="17"/>
      <c r="AA15" s="17"/>
      <c r="AB15" s="17"/>
    </row>
    <row r="16" spans="1:29" x14ac:dyDescent="0.2">
      <c r="A16" s="27" t="s">
        <v>91</v>
      </c>
      <c r="B16" s="27" t="s">
        <v>79</v>
      </c>
      <c r="C16" s="154"/>
      <c r="D16" s="154"/>
      <c r="E16" s="47">
        <f t="shared" si="0"/>
        <v>0</v>
      </c>
      <c r="F16" s="47">
        <f t="shared" si="1"/>
        <v>0</v>
      </c>
      <c r="G16" s="8"/>
      <c r="H16" s="8"/>
      <c r="I16" s="15"/>
      <c r="J16" s="35"/>
      <c r="K16" s="8"/>
      <c r="L16" s="8"/>
      <c r="M16" s="15">
        <f t="shared" si="2"/>
        <v>0</v>
      </c>
      <c r="N16" s="15">
        <f t="shared" si="3"/>
        <v>0</v>
      </c>
      <c r="O16" s="9"/>
      <c r="P16" s="19"/>
      <c r="Q16" s="19" t="s">
        <v>13</v>
      </c>
      <c r="R16" s="19">
        <v>1</v>
      </c>
      <c r="S16" s="19"/>
      <c r="T16" s="49"/>
      <c r="U16" s="17"/>
      <c r="V16" s="17"/>
      <c r="W16" s="17"/>
      <c r="X16" s="17"/>
      <c r="Y16" s="17"/>
      <c r="Z16" s="17"/>
      <c r="AA16" s="17"/>
      <c r="AB16" s="17"/>
    </row>
    <row r="17" spans="1:30" x14ac:dyDescent="0.2">
      <c r="A17" s="27" t="s">
        <v>92</v>
      </c>
      <c r="B17" s="27" t="s">
        <v>79</v>
      </c>
      <c r="C17" s="154"/>
      <c r="D17" s="154"/>
      <c r="E17" s="15">
        <f t="shared" si="0"/>
        <v>0</v>
      </c>
      <c r="F17" s="15">
        <f t="shared" si="1"/>
        <v>0</v>
      </c>
      <c r="G17" s="34"/>
      <c r="H17" s="34"/>
      <c r="I17" s="15"/>
      <c r="J17" s="35"/>
      <c r="K17" s="34"/>
      <c r="L17" s="34"/>
      <c r="M17" s="15">
        <f t="shared" si="2"/>
        <v>0</v>
      </c>
      <c r="N17" s="15">
        <f t="shared" si="3"/>
        <v>0</v>
      </c>
      <c r="O17" s="9"/>
      <c r="P17" s="19"/>
      <c r="Q17" s="19" t="s">
        <v>93</v>
      </c>
      <c r="R17" s="19">
        <v>0</v>
      </c>
      <c r="S17" s="19"/>
      <c r="T17" s="49"/>
      <c r="U17" s="17"/>
      <c r="V17" s="17"/>
      <c r="W17" s="17"/>
      <c r="X17" s="17"/>
      <c r="Y17" s="17"/>
      <c r="Z17" s="17"/>
      <c r="AA17" s="17"/>
      <c r="AB17" s="17"/>
    </row>
    <row r="18" spans="1:30" x14ac:dyDescent="0.2">
      <c r="A18" s="27" t="s">
        <v>94</v>
      </c>
      <c r="B18" s="27" t="s">
        <v>79</v>
      </c>
      <c r="C18" s="154"/>
      <c r="D18" s="154"/>
      <c r="E18" s="154">
        <f t="shared" si="0"/>
        <v>0</v>
      </c>
      <c r="F18" s="154">
        <f t="shared" si="1"/>
        <v>0</v>
      </c>
      <c r="G18" s="8"/>
      <c r="H18" s="8"/>
      <c r="I18" s="154"/>
      <c r="J18" s="14"/>
      <c r="K18" s="8"/>
      <c r="L18" s="8"/>
      <c r="M18" s="154">
        <f t="shared" si="2"/>
        <v>0</v>
      </c>
      <c r="N18" s="154">
        <f t="shared" si="3"/>
        <v>0</v>
      </c>
      <c r="O18" s="9"/>
      <c r="P18" s="19"/>
      <c r="Q18" s="19"/>
      <c r="R18" s="19"/>
      <c r="S18" s="19"/>
      <c r="T18" s="49"/>
      <c r="U18" s="17"/>
      <c r="V18" s="17"/>
      <c r="W18" s="17"/>
      <c r="X18" s="17"/>
      <c r="Y18" s="17"/>
      <c r="Z18" s="17"/>
      <c r="AA18" s="17"/>
      <c r="AB18" s="17"/>
    </row>
    <row r="19" spans="1:30" x14ac:dyDescent="0.2">
      <c r="A19" s="27" t="s">
        <v>95</v>
      </c>
      <c r="B19" s="27" t="s">
        <v>79</v>
      </c>
      <c r="C19" s="154"/>
      <c r="D19" s="154"/>
      <c r="E19" s="154">
        <f t="shared" si="0"/>
        <v>0</v>
      </c>
      <c r="F19" s="154">
        <f t="shared" si="1"/>
        <v>0</v>
      </c>
      <c r="G19" s="8"/>
      <c r="H19" s="8"/>
      <c r="I19" s="154"/>
      <c r="J19" s="14"/>
      <c r="K19" s="8"/>
      <c r="L19" s="8"/>
      <c r="M19" s="154">
        <f t="shared" si="2"/>
        <v>0</v>
      </c>
      <c r="N19" s="154">
        <f t="shared" si="3"/>
        <v>0</v>
      </c>
      <c r="O19" s="9"/>
      <c r="P19" s="17"/>
      <c r="Q19" s="51"/>
      <c r="R19" s="51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52"/>
    </row>
    <row r="20" spans="1:30" x14ac:dyDescent="0.2">
      <c r="A20" s="27" t="s">
        <v>96</v>
      </c>
      <c r="B20" s="27" t="s">
        <v>79</v>
      </c>
      <c r="C20" s="154"/>
      <c r="D20" s="154"/>
      <c r="E20" s="29">
        <f t="shared" si="0"/>
        <v>0</v>
      </c>
      <c r="F20" s="29">
        <f t="shared" si="1"/>
        <v>0</v>
      </c>
      <c r="G20" s="30"/>
      <c r="H20" s="30"/>
      <c r="I20" s="29"/>
      <c r="J20" s="31"/>
      <c r="K20" s="30"/>
      <c r="L20" s="30"/>
      <c r="M20" s="29">
        <f t="shared" si="2"/>
        <v>0</v>
      </c>
      <c r="N20" s="29">
        <f t="shared" si="3"/>
        <v>0</v>
      </c>
      <c r="O20" s="9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52"/>
    </row>
    <row r="21" spans="1:30" x14ac:dyDescent="0.2">
      <c r="A21" s="27" t="s">
        <v>97</v>
      </c>
      <c r="B21" s="27" t="s">
        <v>79</v>
      </c>
      <c r="C21" s="154"/>
      <c r="D21" s="154"/>
      <c r="E21" s="154">
        <f t="shared" si="0"/>
        <v>0</v>
      </c>
      <c r="F21" s="154">
        <f t="shared" si="1"/>
        <v>0</v>
      </c>
      <c r="G21" s="8"/>
      <c r="H21" s="8"/>
      <c r="I21" s="154"/>
      <c r="J21" s="14"/>
      <c r="K21" s="8"/>
      <c r="L21" s="8"/>
      <c r="M21" s="154">
        <f t="shared" si="2"/>
        <v>0</v>
      </c>
      <c r="N21" s="154">
        <f t="shared" si="3"/>
        <v>0</v>
      </c>
      <c r="O21" s="9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52"/>
    </row>
    <row r="22" spans="1:30" x14ac:dyDescent="0.2">
      <c r="A22" s="27" t="s">
        <v>98</v>
      </c>
      <c r="B22" s="53" t="s">
        <v>79</v>
      </c>
      <c r="C22" s="15"/>
      <c r="D22" s="15"/>
      <c r="E22" s="15">
        <f t="shared" si="0"/>
        <v>0</v>
      </c>
      <c r="F22" s="15">
        <f t="shared" si="1"/>
        <v>0</v>
      </c>
      <c r="G22" s="34"/>
      <c r="H22" s="34"/>
      <c r="I22" s="15"/>
      <c r="J22" s="35"/>
      <c r="K22" s="34"/>
      <c r="L22" s="34"/>
      <c r="M22" s="15">
        <f t="shared" si="2"/>
        <v>0</v>
      </c>
      <c r="N22" s="15">
        <f t="shared" si="3"/>
        <v>0</v>
      </c>
      <c r="O22" s="9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52"/>
    </row>
    <row r="23" spans="1:30" x14ac:dyDescent="0.2">
      <c r="A23" s="22" t="s">
        <v>99</v>
      </c>
      <c r="B23" s="22" t="s">
        <v>79</v>
      </c>
      <c r="C23" s="24"/>
      <c r="D23" s="24"/>
      <c r="E23" s="24">
        <f t="shared" si="0"/>
        <v>0</v>
      </c>
      <c r="F23" s="24">
        <f t="shared" si="1"/>
        <v>0</v>
      </c>
      <c r="G23" s="25"/>
      <c r="H23" s="25"/>
      <c r="I23" s="24"/>
      <c r="J23" s="26"/>
      <c r="K23" s="25"/>
      <c r="L23" s="25"/>
      <c r="M23" s="24">
        <f t="shared" si="2"/>
        <v>0</v>
      </c>
      <c r="N23" s="24">
        <f t="shared" si="3"/>
        <v>0</v>
      </c>
      <c r="O23" s="9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52"/>
    </row>
    <row r="24" spans="1:30" x14ac:dyDescent="0.2">
      <c r="A24" s="32" t="s">
        <v>100</v>
      </c>
      <c r="B24" s="27" t="s">
        <v>79</v>
      </c>
      <c r="C24" s="29"/>
      <c r="D24" s="29"/>
      <c r="E24" s="29">
        <f t="shared" si="0"/>
        <v>0</v>
      </c>
      <c r="F24" s="29">
        <f t="shared" si="1"/>
        <v>0</v>
      </c>
      <c r="G24" s="30"/>
      <c r="H24" s="30"/>
      <c r="I24" s="29"/>
      <c r="J24" s="31"/>
      <c r="K24" s="30"/>
      <c r="L24" s="30"/>
      <c r="M24" s="29">
        <f t="shared" si="2"/>
        <v>0</v>
      </c>
      <c r="N24" s="29">
        <f t="shared" si="3"/>
        <v>0</v>
      </c>
      <c r="O24" s="9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52"/>
    </row>
    <row r="25" spans="1:30" x14ac:dyDescent="0.2">
      <c r="A25" s="2" t="s">
        <v>101</v>
      </c>
      <c r="B25" s="54" t="s">
        <v>79</v>
      </c>
      <c r="C25" s="154"/>
      <c r="D25" s="154"/>
      <c r="E25" s="29">
        <f t="shared" si="0"/>
        <v>0</v>
      </c>
      <c r="F25" s="29">
        <f t="shared" si="1"/>
        <v>0</v>
      </c>
      <c r="G25" s="8"/>
      <c r="H25" s="8"/>
      <c r="I25" s="154"/>
      <c r="J25" s="14"/>
      <c r="K25" s="8"/>
      <c r="L25" s="8"/>
      <c r="M25" s="154">
        <f t="shared" si="2"/>
        <v>0</v>
      </c>
      <c r="N25" s="154">
        <f t="shared" si="3"/>
        <v>0</v>
      </c>
      <c r="O25" s="9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52"/>
    </row>
    <row r="26" spans="1:30" x14ac:dyDescent="0.2">
      <c r="A26" s="2" t="s">
        <v>102</v>
      </c>
      <c r="B26" s="54" t="s">
        <v>79</v>
      </c>
      <c r="C26" s="154"/>
      <c r="D26" s="154"/>
      <c r="E26" s="47">
        <f t="shared" si="0"/>
        <v>0</v>
      </c>
      <c r="F26" s="47">
        <f t="shared" si="1"/>
        <v>0</v>
      </c>
      <c r="G26" s="8"/>
      <c r="H26" s="8"/>
      <c r="I26" s="15"/>
      <c r="J26" s="35"/>
      <c r="K26" s="8"/>
      <c r="L26" s="8"/>
      <c r="M26" s="15">
        <f t="shared" si="2"/>
        <v>0</v>
      </c>
      <c r="N26" s="15">
        <f t="shared" si="3"/>
        <v>0</v>
      </c>
      <c r="O26" s="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52"/>
    </row>
    <row r="27" spans="1:30" x14ac:dyDescent="0.2">
      <c r="A27" s="2" t="s">
        <v>103</v>
      </c>
      <c r="B27" s="54" t="s">
        <v>79</v>
      </c>
      <c r="C27" s="154"/>
      <c r="D27" s="154"/>
      <c r="E27" s="15">
        <f t="shared" si="0"/>
        <v>0</v>
      </c>
      <c r="F27" s="15">
        <f t="shared" si="1"/>
        <v>0</v>
      </c>
      <c r="G27" s="34"/>
      <c r="H27" s="34"/>
      <c r="I27" s="15"/>
      <c r="J27" s="35"/>
      <c r="K27" s="34"/>
      <c r="L27" s="34"/>
      <c r="M27" s="15">
        <f t="shared" si="2"/>
        <v>0</v>
      </c>
      <c r="N27" s="15">
        <f t="shared" si="3"/>
        <v>0</v>
      </c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7"/>
      <c r="AD27" s="58"/>
    </row>
    <row r="28" spans="1:30" x14ac:dyDescent="0.2">
      <c r="A28" s="2" t="s">
        <v>104</v>
      </c>
      <c r="B28" s="54" t="s">
        <v>79</v>
      </c>
      <c r="C28" s="154"/>
      <c r="D28" s="154"/>
      <c r="E28" s="154">
        <f t="shared" si="0"/>
        <v>0</v>
      </c>
      <c r="F28" s="154">
        <f t="shared" si="1"/>
        <v>0</v>
      </c>
      <c r="G28" s="8"/>
      <c r="H28" s="8"/>
      <c r="I28" s="154"/>
      <c r="J28" s="14"/>
      <c r="K28" s="8"/>
      <c r="L28" s="8"/>
      <c r="M28" s="154">
        <f t="shared" si="2"/>
        <v>0</v>
      </c>
      <c r="N28" s="154">
        <f t="shared" si="3"/>
        <v>0</v>
      </c>
      <c r="O28" s="55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7"/>
      <c r="AD28" s="58"/>
    </row>
    <row r="29" spans="1:30" x14ac:dyDescent="0.2">
      <c r="A29" s="2" t="s">
        <v>105</v>
      </c>
      <c r="B29" s="54" t="s">
        <v>79</v>
      </c>
      <c r="C29" s="154"/>
      <c r="D29" s="154"/>
      <c r="E29" s="154">
        <f t="shared" si="0"/>
        <v>0</v>
      </c>
      <c r="F29" s="154">
        <f t="shared" si="1"/>
        <v>0</v>
      </c>
      <c r="G29" s="8"/>
      <c r="H29" s="8"/>
      <c r="I29" s="154"/>
      <c r="J29" s="14"/>
      <c r="K29" s="8"/>
      <c r="L29" s="8"/>
      <c r="M29" s="154">
        <f t="shared" si="2"/>
        <v>0</v>
      </c>
      <c r="N29" s="154">
        <f t="shared" si="3"/>
        <v>0</v>
      </c>
      <c r="O29" s="55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7"/>
      <c r="AD29" s="58"/>
    </row>
    <row r="30" spans="1:30" x14ac:dyDescent="0.2">
      <c r="A30" s="2" t="s">
        <v>106</v>
      </c>
      <c r="B30" s="54" t="s">
        <v>79</v>
      </c>
      <c r="C30" s="154"/>
      <c r="D30" s="154"/>
      <c r="E30" s="29">
        <f t="shared" si="0"/>
        <v>0</v>
      </c>
      <c r="F30" s="29">
        <f t="shared" si="1"/>
        <v>0</v>
      </c>
      <c r="G30" s="30"/>
      <c r="H30" s="30"/>
      <c r="I30" s="29"/>
      <c r="J30" s="31"/>
      <c r="K30" s="30"/>
      <c r="L30" s="30"/>
      <c r="M30" s="29">
        <f t="shared" si="2"/>
        <v>0</v>
      </c>
      <c r="N30" s="29">
        <f t="shared" si="3"/>
        <v>0</v>
      </c>
      <c r="O30" s="55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7"/>
      <c r="AD30" s="58"/>
    </row>
    <row r="31" spans="1:30" x14ac:dyDescent="0.2">
      <c r="A31" s="2" t="s">
        <v>107</v>
      </c>
      <c r="B31" s="54" t="s">
        <v>79</v>
      </c>
      <c r="C31" s="154"/>
      <c r="D31" s="154"/>
      <c r="E31" s="154">
        <f t="shared" si="0"/>
        <v>0</v>
      </c>
      <c r="F31" s="154">
        <f t="shared" si="1"/>
        <v>0</v>
      </c>
      <c r="G31" s="8"/>
      <c r="H31" s="8"/>
      <c r="I31" s="154"/>
      <c r="J31" s="14"/>
      <c r="K31" s="8"/>
      <c r="L31" s="8"/>
      <c r="M31" s="154">
        <f t="shared" si="2"/>
        <v>0</v>
      </c>
      <c r="N31" s="154">
        <f t="shared" si="3"/>
        <v>0</v>
      </c>
      <c r="O31" s="55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7"/>
      <c r="AD31" s="58"/>
    </row>
    <row r="32" spans="1:30" x14ac:dyDescent="0.2">
      <c r="A32" s="32" t="s">
        <v>108</v>
      </c>
      <c r="B32" s="59" t="s">
        <v>79</v>
      </c>
      <c r="C32" s="15"/>
      <c r="D32" s="15"/>
      <c r="E32" s="15">
        <f t="shared" si="0"/>
        <v>0</v>
      </c>
      <c r="F32" s="15">
        <f t="shared" si="1"/>
        <v>0</v>
      </c>
      <c r="G32" s="34"/>
      <c r="H32" s="34"/>
      <c r="I32" s="15"/>
      <c r="J32" s="35"/>
      <c r="K32" s="34"/>
      <c r="L32" s="34"/>
      <c r="M32" s="15">
        <f t="shared" si="2"/>
        <v>0</v>
      </c>
      <c r="N32" s="15">
        <f t="shared" si="3"/>
        <v>0</v>
      </c>
      <c r="O32" s="55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7"/>
      <c r="AD32" s="58"/>
    </row>
    <row r="33" spans="1:30" x14ac:dyDescent="0.2">
      <c r="A33" s="2" t="s">
        <v>109</v>
      </c>
      <c r="B33" s="2" t="s">
        <v>79</v>
      </c>
      <c r="C33" s="154"/>
      <c r="D33" s="154"/>
      <c r="E33" s="154">
        <f t="shared" si="0"/>
        <v>0</v>
      </c>
      <c r="F33" s="154">
        <f t="shared" si="1"/>
        <v>0</v>
      </c>
      <c r="G33" s="8"/>
      <c r="H33" s="8"/>
      <c r="I33" s="154"/>
      <c r="J33" s="14"/>
      <c r="K33" s="8"/>
      <c r="L33" s="8"/>
      <c r="M33" s="154">
        <f t="shared" si="2"/>
        <v>0</v>
      </c>
      <c r="N33" s="154">
        <f t="shared" si="3"/>
        <v>0</v>
      </c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7"/>
      <c r="AD33" s="58"/>
    </row>
    <row r="34" spans="1:30" x14ac:dyDescent="0.2">
      <c r="A34" s="161"/>
      <c r="B34" s="161"/>
      <c r="C34" s="60"/>
      <c r="D34" s="60"/>
      <c r="E34" s="3"/>
      <c r="F34" s="3"/>
      <c r="G34" s="3"/>
      <c r="H34" s="3"/>
      <c r="I34" s="3"/>
      <c r="J34" s="61"/>
      <c r="K34" s="3"/>
      <c r="L34" s="3"/>
      <c r="M34" s="3"/>
      <c r="N34" s="3"/>
      <c r="O34" s="62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8"/>
    </row>
    <row r="35" spans="1:30" x14ac:dyDescent="0.2">
      <c r="A35" s="161"/>
      <c r="B35" s="161"/>
      <c r="C35" s="60"/>
      <c r="D35" s="60"/>
      <c r="E35" s="3"/>
      <c r="F35" s="3"/>
      <c r="G35" s="3"/>
      <c r="H35" s="3"/>
      <c r="I35" s="3"/>
      <c r="J35" s="61"/>
      <c r="K35" s="3"/>
      <c r="L35" s="3"/>
      <c r="M35" s="3"/>
      <c r="N35" s="3"/>
      <c r="O35" s="62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</row>
    <row r="36" spans="1:30" x14ac:dyDescent="0.2">
      <c r="A36" s="161"/>
      <c r="B36" s="161"/>
      <c r="C36" s="60"/>
      <c r="D36" s="63"/>
      <c r="E36" s="3"/>
      <c r="F36" s="3"/>
      <c r="G36" s="3"/>
      <c r="H36" s="3"/>
      <c r="I36" s="3"/>
      <c r="J36" s="61"/>
      <c r="K36" s="3"/>
      <c r="L36" s="3"/>
      <c r="M36" s="3"/>
      <c r="N36" s="3"/>
      <c r="O36" s="62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</row>
    <row r="37" spans="1:30" x14ac:dyDescent="0.2">
      <c r="A37" s="161"/>
      <c r="B37" s="161"/>
      <c r="C37" s="60"/>
      <c r="D37" s="60"/>
      <c r="E37" s="3"/>
      <c r="F37" s="3"/>
      <c r="G37" s="3"/>
      <c r="H37" s="3"/>
      <c r="I37" s="3"/>
      <c r="J37" s="61"/>
      <c r="K37" s="3"/>
      <c r="L37" s="3"/>
      <c r="M37" s="3"/>
      <c r="N37" s="3"/>
      <c r="O37" s="62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8"/>
    </row>
    <row r="38" spans="1:30" x14ac:dyDescent="0.2">
      <c r="A38" s="161"/>
      <c r="B38" s="161"/>
      <c r="C38" s="60"/>
      <c r="D38" s="60"/>
      <c r="E38" s="3"/>
      <c r="F38" s="3"/>
      <c r="G38" s="3"/>
      <c r="H38" s="3"/>
      <c r="I38" s="3"/>
      <c r="J38" s="61"/>
      <c r="K38" s="3"/>
      <c r="L38" s="3"/>
      <c r="M38" s="3"/>
      <c r="N38" s="3"/>
      <c r="O38" s="62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8"/>
    </row>
    <row r="39" spans="1:30" x14ac:dyDescent="0.2">
      <c r="A39" s="161"/>
      <c r="B39" s="161"/>
      <c r="C39" s="60"/>
      <c r="D39" s="60"/>
      <c r="E39" s="3"/>
      <c r="F39" s="3"/>
      <c r="G39" s="3"/>
      <c r="H39" s="3"/>
      <c r="I39" s="3"/>
      <c r="J39" s="61"/>
      <c r="K39" s="3"/>
      <c r="L39" s="3"/>
      <c r="M39" s="3"/>
      <c r="N39" s="3"/>
      <c r="O39" s="62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8"/>
    </row>
    <row r="40" spans="1:30" x14ac:dyDescent="0.2">
      <c r="A40" s="161"/>
      <c r="B40" s="161"/>
      <c r="C40" s="60"/>
      <c r="D40" s="60"/>
      <c r="E40" s="3"/>
      <c r="F40" s="3"/>
      <c r="G40" s="3"/>
      <c r="H40" s="3"/>
      <c r="I40" s="3"/>
      <c r="J40" s="61"/>
      <c r="K40" s="3"/>
      <c r="L40" s="3"/>
      <c r="M40" s="3"/>
      <c r="N40" s="3"/>
      <c r="O40" s="62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8"/>
    </row>
    <row r="41" spans="1:30" x14ac:dyDescent="0.2">
      <c r="A41" s="161"/>
      <c r="B41" s="161"/>
      <c r="C41" s="60"/>
      <c r="D41" s="60"/>
      <c r="E41" s="3"/>
      <c r="F41" s="3"/>
      <c r="G41" s="3"/>
      <c r="H41" s="3"/>
      <c r="I41" s="3"/>
      <c r="J41" s="61"/>
      <c r="K41" s="3"/>
      <c r="L41" s="3"/>
      <c r="M41" s="3"/>
      <c r="N41" s="3"/>
      <c r="O41" s="62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8"/>
    </row>
    <row r="42" spans="1:30" x14ac:dyDescent="0.2">
      <c r="A42" s="161"/>
      <c r="B42" s="161"/>
      <c r="C42" s="63"/>
      <c r="D42" s="60"/>
      <c r="E42" s="3"/>
      <c r="F42" s="3"/>
      <c r="G42" s="3"/>
      <c r="H42" s="3"/>
      <c r="I42" s="3"/>
      <c r="J42" s="61"/>
      <c r="K42" s="3"/>
      <c r="L42" s="3"/>
      <c r="M42" s="3"/>
      <c r="N42" s="3"/>
      <c r="O42" s="62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8"/>
    </row>
    <row r="43" spans="1:30" x14ac:dyDescent="0.2">
      <c r="A43" s="161"/>
      <c r="B43" s="161"/>
      <c r="C43" s="60"/>
      <c r="D43" s="60"/>
      <c r="E43" s="3"/>
      <c r="F43" s="3"/>
      <c r="G43" s="3"/>
      <c r="H43" s="3"/>
      <c r="I43" s="3"/>
      <c r="J43" s="61"/>
      <c r="K43" s="3"/>
      <c r="L43" s="3"/>
      <c r="M43" s="3"/>
      <c r="N43" s="3"/>
      <c r="O43" s="62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8"/>
    </row>
    <row r="44" spans="1:30" x14ac:dyDescent="0.2">
      <c r="A44" s="161"/>
      <c r="B44" s="161"/>
      <c r="C44" s="63"/>
      <c r="D44" s="60"/>
      <c r="E44" s="3"/>
      <c r="F44" s="3"/>
      <c r="G44" s="3"/>
      <c r="H44" s="3"/>
      <c r="I44" s="3"/>
      <c r="J44" s="61"/>
      <c r="K44" s="3"/>
      <c r="L44" s="3"/>
      <c r="M44" s="3"/>
      <c r="N44" s="3"/>
      <c r="O44" s="62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8"/>
    </row>
    <row r="45" spans="1:30" x14ac:dyDescent="0.2">
      <c r="A45" s="161"/>
      <c r="B45" s="161"/>
      <c r="C45" s="60"/>
      <c r="D45" s="60"/>
      <c r="E45" s="3"/>
      <c r="F45" s="3"/>
      <c r="G45" s="3"/>
      <c r="H45" s="3"/>
      <c r="I45" s="3"/>
      <c r="J45" s="61"/>
      <c r="K45" s="3"/>
      <c r="L45" s="3"/>
      <c r="M45" s="3"/>
      <c r="N45" s="3"/>
      <c r="O45" s="62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8"/>
    </row>
    <row r="46" spans="1:30" x14ac:dyDescent="0.2">
      <c r="A46" s="64"/>
      <c r="B46" s="64"/>
      <c r="C46" s="64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2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8"/>
    </row>
    <row r="47" spans="1:30" x14ac:dyDescent="0.2">
      <c r="A47" s="64"/>
      <c r="B47" s="64"/>
      <c r="C47" s="64"/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2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8"/>
    </row>
    <row r="48" spans="1:30" x14ac:dyDescent="0.2">
      <c r="A48" s="64"/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2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8"/>
    </row>
    <row r="49" spans="1:30" x14ac:dyDescent="0.2">
      <c r="A49" s="64"/>
      <c r="B49" s="64"/>
      <c r="C49" s="64"/>
      <c r="D49" s="64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2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8"/>
    </row>
    <row r="50" spans="1:30" x14ac:dyDescent="0.2">
      <c r="A50" s="64"/>
      <c r="B50" s="64"/>
      <c r="C50" s="64"/>
      <c r="D50" s="64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2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8"/>
    </row>
    <row r="51" spans="1:30" x14ac:dyDescent="0.2">
      <c r="A51" s="64"/>
      <c r="B51" s="64"/>
      <c r="C51" s="64"/>
      <c r="D51" s="6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2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8"/>
    </row>
    <row r="52" spans="1:30" x14ac:dyDescent="0.2">
      <c r="A52" s="64"/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2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8"/>
    </row>
    <row r="53" spans="1:30" x14ac:dyDescent="0.2">
      <c r="A53" s="64"/>
      <c r="B53" s="64"/>
      <c r="C53" s="64"/>
      <c r="D53" s="64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2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8"/>
    </row>
    <row r="54" spans="1:30" x14ac:dyDescent="0.2">
      <c r="A54" s="64"/>
      <c r="B54" s="64"/>
      <c r="C54" s="64"/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2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8"/>
    </row>
    <row r="55" spans="1:30" x14ac:dyDescent="0.2">
      <c r="A55" s="64"/>
      <c r="B55" s="64"/>
      <c r="C55" s="64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2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8"/>
    </row>
    <row r="56" spans="1:30" x14ac:dyDescent="0.2">
      <c r="A56" s="64"/>
      <c r="B56" s="64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2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8"/>
    </row>
    <row r="57" spans="1:30" x14ac:dyDescent="0.2"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8"/>
    </row>
    <row r="58" spans="1:30" x14ac:dyDescent="0.2"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8"/>
    </row>
    <row r="59" spans="1:30" x14ac:dyDescent="0.2"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8"/>
    </row>
    <row r="60" spans="1:30" x14ac:dyDescent="0.2"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x14ac:dyDescent="0.2"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x14ac:dyDescent="0.2"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x14ac:dyDescent="0.2"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x14ac:dyDescent="0.2"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5:30" x14ac:dyDescent="0.2"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</sheetData>
  <sheetProtection selectLockedCells="1" selectUnlockedCells="1"/>
  <mergeCells count="12">
    <mergeCell ref="C2:D2"/>
    <mergeCell ref="E2:F2"/>
    <mergeCell ref="G2:N2"/>
    <mergeCell ref="R2:U2"/>
    <mergeCell ref="W2:Y2"/>
    <mergeCell ref="Q14:R14"/>
    <mergeCell ref="Z2:AB2"/>
    <mergeCell ref="E3:F3"/>
    <mergeCell ref="G3:H3"/>
    <mergeCell ref="I3:J3"/>
    <mergeCell ref="K3:L3"/>
    <mergeCell ref="M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2"/>
  <sheetViews>
    <sheetView showGridLines="0" tabSelected="1" zoomScaleNormal="100" workbookViewId="0">
      <pane xSplit="1" ySplit="7" topLeftCell="B573" activePane="bottomRight" state="frozen"/>
      <selection pane="topRight" activeCell="B1" sqref="B1"/>
      <selection pane="bottomLeft" activeCell="A8" sqref="A8"/>
      <selection pane="bottomRight" activeCell="A582" sqref="A582"/>
    </sheetView>
  </sheetViews>
  <sheetFormatPr defaultColWidth="11.42578125" defaultRowHeight="15" x14ac:dyDescent="0.2"/>
  <cols>
    <col min="1" max="1" width="1.42578125" style="122" customWidth="1"/>
    <col min="2" max="2" width="8.28515625" style="66" customWidth="1"/>
    <col min="3" max="3" width="8.85546875" style="66" customWidth="1"/>
    <col min="4" max="4" width="5.7109375" style="67" customWidth="1"/>
    <col min="5" max="5" width="13.140625" style="17" customWidth="1"/>
    <col min="6" max="6" width="9.42578125" style="66" bestFit="1" customWidth="1"/>
    <col min="7" max="7" width="27.28515625" style="66" customWidth="1"/>
    <col min="8" max="9" width="30.28515625" style="17" bestFit="1" customWidth="1"/>
    <col min="10" max="10" width="4.28515625" style="68" customWidth="1"/>
    <col min="11" max="11" width="4.28515625" style="69" customWidth="1"/>
    <col min="12" max="12" width="16.7109375" style="124" customWidth="1"/>
    <col min="13" max="14" width="3" style="124" customWidth="1"/>
    <col min="15" max="17" width="3" style="125" customWidth="1"/>
    <col min="18" max="18" width="2" style="125" customWidth="1"/>
    <col min="19" max="19" width="4" style="125" customWidth="1"/>
    <col min="20" max="21" width="2" style="125" customWidth="1"/>
    <col min="22" max="22" width="3" style="125" customWidth="1"/>
    <col min="23" max="16384" width="11.42578125" style="125"/>
  </cols>
  <sheetData>
    <row r="1" spans="1:21" s="66" customFormat="1" ht="111" customHeight="1" x14ac:dyDescent="0.2">
      <c r="A1" s="164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165"/>
      <c r="M1" s="165"/>
      <c r="N1" s="165"/>
    </row>
    <row r="2" spans="1:21" s="66" customFormat="1" x14ac:dyDescent="0.2">
      <c r="A2" s="164"/>
      <c r="B2" s="238" t="s">
        <v>110</v>
      </c>
      <c r="C2" s="238"/>
      <c r="D2" s="238"/>
      <c r="E2" s="238"/>
      <c r="F2" s="238"/>
      <c r="G2" s="238"/>
      <c r="H2" s="238"/>
      <c r="I2" s="238"/>
      <c r="J2" s="238"/>
      <c r="K2" s="238"/>
      <c r="L2" s="166"/>
      <c r="M2" s="166"/>
      <c r="N2" s="166"/>
      <c r="O2" s="9"/>
      <c r="P2" s="9"/>
      <c r="Q2" s="9"/>
      <c r="R2" s="9"/>
      <c r="S2" s="9"/>
      <c r="T2" s="9"/>
    </row>
    <row r="3" spans="1:21" s="66" customFormat="1" x14ac:dyDescent="0.2">
      <c r="A3" s="164"/>
      <c r="B3" s="239" t="s">
        <v>111</v>
      </c>
      <c r="C3" s="239"/>
      <c r="D3" s="239"/>
      <c r="E3" s="239"/>
      <c r="F3" s="239"/>
      <c r="G3" s="239"/>
      <c r="H3" s="239"/>
      <c r="I3" s="239"/>
      <c r="J3" s="239"/>
      <c r="K3" s="239"/>
      <c r="L3" s="165"/>
      <c r="M3" s="165"/>
      <c r="N3" s="165"/>
    </row>
    <row r="4" spans="1:21" s="66" customFormat="1" x14ac:dyDescent="0.2">
      <c r="A4" s="164"/>
      <c r="B4" s="240" t="s">
        <v>425</v>
      </c>
      <c r="C4" s="240"/>
      <c r="D4" s="240"/>
      <c r="E4" s="240"/>
      <c r="F4" s="240"/>
      <c r="G4" s="240"/>
      <c r="H4" s="240"/>
      <c r="I4" s="240"/>
      <c r="J4" s="240"/>
      <c r="K4" s="240"/>
      <c r="L4" s="165"/>
      <c r="M4" s="165"/>
      <c r="N4" s="165"/>
    </row>
    <row r="5" spans="1:21" s="66" customFormat="1" x14ac:dyDescent="0.2">
      <c r="A5" s="164"/>
      <c r="B5" s="241" t="s">
        <v>112</v>
      </c>
      <c r="C5" s="241"/>
      <c r="D5" s="241"/>
      <c r="E5" s="241"/>
      <c r="F5" s="241"/>
      <c r="G5" s="241"/>
      <c r="H5" s="241"/>
      <c r="I5" s="241"/>
      <c r="J5" s="241"/>
      <c r="K5" s="241"/>
      <c r="L5" s="165"/>
      <c r="M5" s="165"/>
      <c r="N5" s="165"/>
    </row>
    <row r="6" spans="1:21" x14ac:dyDescent="0.2">
      <c r="B6" s="248"/>
      <c r="C6" s="248"/>
      <c r="D6" s="248"/>
      <c r="E6" s="248"/>
      <c r="F6" s="248"/>
      <c r="G6" s="248"/>
      <c r="H6" s="248"/>
      <c r="I6" s="248"/>
      <c r="J6" s="248"/>
      <c r="K6" s="248"/>
    </row>
    <row r="7" spans="1:21" s="129" customFormat="1" x14ac:dyDescent="0.2">
      <c r="A7" s="123"/>
      <c r="B7" s="250" t="s">
        <v>113</v>
      </c>
      <c r="C7" s="250"/>
      <c r="D7" s="70" t="s">
        <v>114</v>
      </c>
      <c r="E7" s="159" t="s">
        <v>115</v>
      </c>
      <c r="F7" s="159" t="s">
        <v>5</v>
      </c>
      <c r="G7" s="159" t="s">
        <v>6</v>
      </c>
      <c r="H7" s="159" t="s">
        <v>7</v>
      </c>
      <c r="I7" s="159" t="s">
        <v>8</v>
      </c>
      <c r="J7" s="249" t="s">
        <v>116</v>
      </c>
      <c r="K7" s="249"/>
      <c r="L7" s="128"/>
      <c r="M7" s="128"/>
      <c r="N7" s="128"/>
    </row>
    <row r="8" spans="1:21" x14ac:dyDescent="0.2">
      <c r="B8" s="9"/>
      <c r="C8" s="9"/>
      <c r="D8" s="71"/>
      <c r="E8" s="3"/>
      <c r="F8" s="9"/>
      <c r="G8" s="3"/>
      <c r="H8" s="3"/>
      <c r="I8" s="72"/>
      <c r="K8" s="73"/>
    </row>
    <row r="9" spans="1:21" ht="26.25" x14ac:dyDescent="0.4">
      <c r="A9" s="242" t="s">
        <v>117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spans="1:21" x14ac:dyDescent="0.2">
      <c r="B10" s="9"/>
      <c r="C10" s="9"/>
      <c r="D10" s="71"/>
      <c r="E10" s="3"/>
      <c r="F10" s="9"/>
      <c r="G10" s="3"/>
      <c r="H10" s="3"/>
      <c r="I10" s="72"/>
      <c r="K10" s="73"/>
    </row>
    <row r="11" spans="1:21" x14ac:dyDescent="0.2">
      <c r="B11" s="76" t="s">
        <v>118</v>
      </c>
      <c r="C11" s="77">
        <v>42264</v>
      </c>
      <c r="D11" s="78" t="s">
        <v>119</v>
      </c>
      <c r="E11" s="79" t="s">
        <v>120</v>
      </c>
      <c r="F11" s="86" t="str">
        <f>JohnBugejaTributeWomenGames!A4</f>
        <v>JBTW-01</v>
      </c>
      <c r="G11" s="86" t="str">
        <f>JohnBugejaTributeWomenGames!B4</f>
        <v>1st Round</v>
      </c>
      <c r="H11" s="86" t="str">
        <f>JohnBugejaTributeWomenGames!C4</f>
        <v>FLYERS</v>
      </c>
      <c r="I11" s="86" t="str">
        <f>JohnBugejaTributeWomenGames!D4</f>
        <v>SLIEMA WANDERERS</v>
      </c>
      <c r="J11" s="86">
        <f>JohnBugejaTributeWomenGames!E4</f>
        <v>3</v>
      </c>
      <c r="K11" s="86">
        <f>JohnBugejaTributeWomenGames!F4</f>
        <v>0</v>
      </c>
      <c r="L11" s="126"/>
      <c r="M11" s="126"/>
      <c r="N11" s="126"/>
      <c r="O11" s="130"/>
      <c r="P11" s="130"/>
      <c r="Q11" s="130"/>
      <c r="R11" s="130"/>
      <c r="S11" s="130"/>
      <c r="T11" s="131"/>
      <c r="U11" s="131"/>
    </row>
    <row r="12" spans="1:21" x14ac:dyDescent="0.2">
      <c r="B12" s="80"/>
      <c r="C12" s="81"/>
      <c r="D12" s="78" t="s">
        <v>119</v>
      </c>
      <c r="E12" s="79" t="s">
        <v>120</v>
      </c>
      <c r="F12" s="86" t="str">
        <f>JohnBugejaTributeWomenGames!A5</f>
        <v>JBTW-02</v>
      </c>
      <c r="G12" s="86" t="str">
        <f>JohnBugejaTributeWomenGames!B5</f>
        <v>1st Round</v>
      </c>
      <c r="H12" s="86" t="str">
        <f>JohnBugejaTributeWomenGames!C5</f>
        <v>SWIEQI PHOENIX</v>
      </c>
      <c r="I12" s="86" t="str">
        <f>JohnBugejaTributeWomenGames!D5</f>
        <v>MGARR</v>
      </c>
      <c r="J12" s="86">
        <f>JohnBugejaTributeWomenGames!E5</f>
        <v>3</v>
      </c>
      <c r="K12" s="86">
        <f>JohnBugejaTributeWomenGames!F5</f>
        <v>0</v>
      </c>
      <c r="M12" s="126"/>
      <c r="N12" s="126"/>
      <c r="O12" s="130"/>
      <c r="P12" s="130"/>
      <c r="Q12" s="130"/>
      <c r="R12" s="130"/>
      <c r="S12" s="130"/>
      <c r="T12" s="131"/>
      <c r="U12" s="131"/>
    </row>
    <row r="13" spans="1:21" ht="7.5" customHeight="1" x14ac:dyDescent="0.2">
      <c r="B13" s="80"/>
      <c r="C13" s="81"/>
      <c r="D13" s="82"/>
      <c r="E13" s="83"/>
      <c r="F13" s="84"/>
      <c r="G13" s="84"/>
      <c r="H13" s="84"/>
      <c r="I13" s="84"/>
      <c r="J13" s="84"/>
      <c r="K13" s="84"/>
      <c r="L13" s="126"/>
      <c r="M13" s="126"/>
      <c r="N13" s="126"/>
      <c r="O13" s="130"/>
      <c r="P13" s="130"/>
      <c r="Q13" s="130"/>
      <c r="R13" s="130"/>
      <c r="S13" s="130"/>
      <c r="T13" s="131"/>
      <c r="U13" s="131"/>
    </row>
    <row r="14" spans="1:21" x14ac:dyDescent="0.2">
      <c r="B14" s="9"/>
      <c r="C14" s="9"/>
      <c r="D14" s="71"/>
      <c r="E14" s="3"/>
      <c r="F14" s="9"/>
      <c r="G14" s="3"/>
      <c r="H14" s="3"/>
      <c r="I14" s="72"/>
      <c r="K14" s="73"/>
    </row>
    <row r="15" spans="1:21" x14ac:dyDescent="0.2">
      <c r="B15" s="76" t="s">
        <v>121</v>
      </c>
      <c r="C15" s="77">
        <v>42266</v>
      </c>
      <c r="D15" s="85"/>
      <c r="E15" s="79" t="s">
        <v>122</v>
      </c>
      <c r="F15" s="246" t="s">
        <v>123</v>
      </c>
      <c r="G15" s="246"/>
      <c r="H15" s="246"/>
      <c r="I15" s="246"/>
      <c r="J15" s="246"/>
      <c r="K15" s="246"/>
      <c r="L15" s="126"/>
      <c r="M15" s="126"/>
      <c r="N15" s="126"/>
      <c r="O15" s="130"/>
      <c r="P15" s="130"/>
      <c r="Q15" s="130"/>
      <c r="R15" s="130"/>
      <c r="S15" s="130"/>
      <c r="T15" s="131"/>
      <c r="U15" s="131"/>
    </row>
    <row r="16" spans="1:21" ht="7.5" customHeight="1" x14ac:dyDescent="0.2">
      <c r="B16" s="80"/>
      <c r="C16" s="81"/>
      <c r="D16" s="82"/>
      <c r="E16" s="83"/>
      <c r="F16" s="84"/>
      <c r="G16" s="84"/>
      <c r="H16" s="84"/>
      <c r="I16" s="84"/>
      <c r="J16" s="84"/>
      <c r="K16" s="84"/>
      <c r="L16" s="126"/>
      <c r="M16" s="126"/>
      <c r="N16" s="126"/>
      <c r="O16" s="130"/>
      <c r="P16" s="130"/>
      <c r="Q16" s="130"/>
      <c r="R16" s="130"/>
      <c r="S16" s="130"/>
      <c r="T16" s="131"/>
      <c r="U16" s="131"/>
    </row>
    <row r="17" spans="2:21" x14ac:dyDescent="0.2">
      <c r="B17" s="9"/>
      <c r="C17" s="9"/>
      <c r="D17" s="71"/>
      <c r="E17" s="3"/>
      <c r="F17" s="9"/>
      <c r="G17" s="3"/>
      <c r="H17" s="3"/>
      <c r="I17" s="72"/>
      <c r="K17" s="73"/>
    </row>
    <row r="18" spans="2:21" x14ac:dyDescent="0.2">
      <c r="B18" s="76" t="s">
        <v>124</v>
      </c>
      <c r="C18" s="77">
        <v>42267</v>
      </c>
      <c r="D18" s="85"/>
      <c r="E18" s="79" t="s">
        <v>125</v>
      </c>
      <c r="F18" s="246" t="s">
        <v>126</v>
      </c>
      <c r="G18" s="246"/>
      <c r="H18" s="246"/>
      <c r="I18" s="246"/>
      <c r="J18" s="246"/>
      <c r="K18" s="246"/>
      <c r="L18" s="126"/>
      <c r="M18" s="126"/>
      <c r="N18" s="126"/>
      <c r="O18" s="130"/>
      <c r="P18" s="130"/>
      <c r="Q18" s="130"/>
      <c r="R18" s="130"/>
      <c r="S18" s="130"/>
      <c r="T18" s="131"/>
      <c r="U18" s="131"/>
    </row>
    <row r="19" spans="2:21" ht="7.5" customHeight="1" x14ac:dyDescent="0.2">
      <c r="B19" s="80"/>
      <c r="C19" s="81"/>
      <c r="D19" s="82"/>
      <c r="E19" s="83"/>
      <c r="F19" s="84"/>
      <c r="G19" s="84"/>
      <c r="H19" s="84"/>
      <c r="I19" s="84"/>
      <c r="J19" s="84"/>
      <c r="K19" s="84"/>
      <c r="L19" s="126"/>
      <c r="M19" s="126"/>
      <c r="N19" s="126"/>
      <c r="O19" s="130"/>
      <c r="P19" s="130"/>
      <c r="Q19" s="130"/>
      <c r="R19" s="130"/>
      <c r="S19" s="130"/>
      <c r="T19" s="131"/>
      <c r="U19" s="131"/>
    </row>
    <row r="20" spans="2:21" x14ac:dyDescent="0.2">
      <c r="B20" s="9"/>
      <c r="C20" s="9"/>
      <c r="D20" s="71"/>
      <c r="E20" s="3"/>
      <c r="F20" s="9"/>
      <c r="G20" s="3"/>
      <c r="H20" s="3"/>
      <c r="I20" s="72"/>
      <c r="K20" s="73"/>
    </row>
    <row r="21" spans="2:21" x14ac:dyDescent="0.2">
      <c r="B21" s="76" t="s">
        <v>127</v>
      </c>
      <c r="C21" s="77">
        <v>42269</v>
      </c>
      <c r="D21" s="78" t="s">
        <v>119</v>
      </c>
      <c r="E21" s="79" t="s">
        <v>120</v>
      </c>
      <c r="F21" s="86" t="str">
        <f>JohnBugejaTributeWomenGames!A6</f>
        <v>JBTW-03</v>
      </c>
      <c r="G21" s="86" t="str">
        <f>JohnBugejaTributeWomenGames!B6</f>
        <v>1st Round</v>
      </c>
      <c r="H21" s="86" t="str">
        <f>JohnBugejaTributeWomenGames!C6</f>
        <v>SWIEQI PHOENIX</v>
      </c>
      <c r="I21" s="86" t="str">
        <f>JohnBugejaTributeWomenGames!D6</f>
        <v>SLIEMA WANDERERS</v>
      </c>
      <c r="J21" s="86">
        <f>JohnBugejaTributeWomenGames!E6</f>
        <v>1</v>
      </c>
      <c r="K21" s="86">
        <f>JohnBugejaTributeWomenGames!F6</f>
        <v>3</v>
      </c>
      <c r="L21" s="126"/>
      <c r="M21" s="126"/>
      <c r="N21" s="126"/>
      <c r="O21" s="130"/>
      <c r="P21" s="130"/>
      <c r="Q21" s="130"/>
      <c r="R21" s="130"/>
      <c r="S21" s="130"/>
      <c r="T21" s="131"/>
      <c r="U21" s="131"/>
    </row>
    <row r="22" spans="2:21" x14ac:dyDescent="0.2">
      <c r="B22" s="80"/>
      <c r="C22" s="81"/>
      <c r="D22" s="78" t="s">
        <v>119</v>
      </c>
      <c r="E22" s="79" t="s">
        <v>120</v>
      </c>
      <c r="F22" s="86" t="str">
        <f>JohnBugejaTributeWomenGames!A7</f>
        <v>JBTW-04</v>
      </c>
      <c r="G22" s="86" t="str">
        <f>JohnBugejaTributeWomenGames!B7</f>
        <v>1st Round</v>
      </c>
      <c r="H22" s="86" t="str">
        <f>JohnBugejaTributeWomenGames!C7</f>
        <v>PAOLA</v>
      </c>
      <c r="I22" s="86" t="str">
        <f>JohnBugejaTributeWomenGames!D7</f>
        <v>MELLIEHA</v>
      </c>
      <c r="J22" s="86">
        <f>JohnBugejaTributeWomenGames!E7</f>
        <v>3</v>
      </c>
      <c r="K22" s="86">
        <f>JohnBugejaTributeWomenGames!F7</f>
        <v>0</v>
      </c>
      <c r="M22" s="126"/>
      <c r="N22" s="126"/>
      <c r="O22" s="130"/>
      <c r="P22" s="130"/>
      <c r="Q22" s="130"/>
      <c r="R22" s="130"/>
      <c r="S22" s="130"/>
      <c r="T22" s="131"/>
      <c r="U22" s="131"/>
    </row>
    <row r="23" spans="2:21" ht="7.5" customHeight="1" x14ac:dyDescent="0.2">
      <c r="B23" s="80"/>
      <c r="C23" s="81"/>
      <c r="D23" s="82"/>
      <c r="E23" s="83"/>
      <c r="F23" s="84"/>
      <c r="G23" s="84"/>
      <c r="H23" s="84"/>
      <c r="I23" s="84"/>
      <c r="J23" s="84"/>
      <c r="K23" s="84"/>
      <c r="L23" s="126"/>
      <c r="M23" s="126"/>
      <c r="N23" s="126"/>
      <c r="O23" s="130"/>
      <c r="P23" s="130"/>
      <c r="Q23" s="130"/>
      <c r="R23" s="130"/>
      <c r="S23" s="130"/>
      <c r="T23" s="131"/>
      <c r="U23" s="131"/>
    </row>
    <row r="24" spans="2:21" x14ac:dyDescent="0.2">
      <c r="B24" s="9"/>
      <c r="C24" s="9"/>
      <c r="D24" s="71"/>
      <c r="E24" s="3"/>
      <c r="F24" s="9"/>
      <c r="G24" s="3"/>
      <c r="H24" s="3"/>
      <c r="I24" s="72"/>
      <c r="K24" s="73"/>
    </row>
    <row r="25" spans="2:21" x14ac:dyDescent="0.2">
      <c r="B25" s="76" t="s">
        <v>118</v>
      </c>
      <c r="C25" s="77">
        <v>42271</v>
      </c>
      <c r="D25" s="78" t="s">
        <v>119</v>
      </c>
      <c r="E25" s="79" t="s">
        <v>120</v>
      </c>
      <c r="F25" s="246" t="s">
        <v>128</v>
      </c>
      <c r="G25" s="246"/>
      <c r="H25" s="246"/>
      <c r="I25" s="246"/>
      <c r="J25" s="246"/>
      <c r="K25" s="246"/>
      <c r="L25" s="126"/>
      <c r="M25" s="126"/>
      <c r="N25" s="126"/>
      <c r="O25" s="130"/>
      <c r="P25" s="130"/>
      <c r="Q25" s="130"/>
      <c r="R25" s="130"/>
      <c r="S25" s="130"/>
      <c r="T25" s="131"/>
      <c r="U25" s="131"/>
    </row>
    <row r="26" spans="2:21" ht="7.5" customHeight="1" x14ac:dyDescent="0.2">
      <c r="B26" s="80"/>
      <c r="C26" s="81"/>
      <c r="D26" s="82"/>
      <c r="E26" s="83"/>
      <c r="F26" s="84"/>
      <c r="G26" s="84"/>
      <c r="H26" s="84"/>
      <c r="I26" s="84"/>
      <c r="J26" s="84"/>
      <c r="K26" s="84"/>
      <c r="L26" s="126"/>
      <c r="M26" s="126"/>
      <c r="N26" s="126"/>
      <c r="O26" s="130"/>
      <c r="P26" s="130"/>
      <c r="Q26" s="130"/>
      <c r="R26" s="130"/>
      <c r="S26" s="130"/>
      <c r="T26" s="131"/>
      <c r="U26" s="131"/>
    </row>
    <row r="27" spans="2:21" x14ac:dyDescent="0.2">
      <c r="B27" s="9"/>
      <c r="C27" s="9"/>
      <c r="D27" s="71"/>
      <c r="E27" s="3"/>
      <c r="F27" s="9"/>
      <c r="G27" s="3"/>
      <c r="H27" s="3"/>
      <c r="I27" s="72"/>
      <c r="K27" s="73"/>
    </row>
    <row r="28" spans="2:21" x14ac:dyDescent="0.2">
      <c r="B28" s="76" t="s">
        <v>124</v>
      </c>
      <c r="C28" s="77">
        <v>42273</v>
      </c>
      <c r="D28" s="78" t="s">
        <v>129</v>
      </c>
      <c r="E28" s="79" t="s">
        <v>120</v>
      </c>
      <c r="F28" s="86" t="str">
        <f>JohnBugejaTributeMenGames!A4</f>
        <v>JBTM-01</v>
      </c>
      <c r="G28" s="86" t="str">
        <f>JohnBugejaTributeMenGames!B4</f>
        <v>1st Round</v>
      </c>
      <c r="H28" s="86" t="str">
        <f>JohnBugejaTributeMenGames!C4</f>
        <v>VALLETTA MAPEI</v>
      </c>
      <c r="I28" s="86" t="str">
        <f>JohnBugejaTributeMenGames!D4</f>
        <v>ALOYSIANS</v>
      </c>
      <c r="J28" s="86">
        <f>JohnBugejaTributeMenGames!E4</f>
        <v>2</v>
      </c>
      <c r="K28" s="86">
        <f>JohnBugejaTributeMenGames!F4</f>
        <v>3</v>
      </c>
      <c r="L28" s="126"/>
      <c r="M28" s="126"/>
      <c r="N28" s="126"/>
      <c r="O28" s="130"/>
      <c r="P28" s="130"/>
      <c r="Q28" s="130"/>
      <c r="R28" s="130"/>
      <c r="S28" s="130"/>
      <c r="T28" s="131"/>
      <c r="U28" s="131"/>
    </row>
    <row r="29" spans="2:21" ht="7.5" customHeight="1" x14ac:dyDescent="0.2">
      <c r="B29" s="80"/>
      <c r="C29" s="81"/>
      <c r="D29" s="82"/>
      <c r="E29" s="83"/>
      <c r="F29" s="84"/>
      <c r="G29" s="84"/>
      <c r="H29" s="84"/>
      <c r="I29" s="84"/>
      <c r="J29" s="84"/>
      <c r="K29" s="84"/>
      <c r="L29" s="126"/>
      <c r="M29" s="126"/>
      <c r="N29" s="126"/>
      <c r="O29" s="130"/>
      <c r="P29" s="130"/>
      <c r="Q29" s="130"/>
      <c r="R29" s="130"/>
      <c r="S29" s="130"/>
      <c r="T29" s="131"/>
      <c r="U29" s="131"/>
    </row>
    <row r="30" spans="2:21" x14ac:dyDescent="0.2">
      <c r="B30" s="76" t="s">
        <v>121</v>
      </c>
      <c r="C30" s="77">
        <v>42273</v>
      </c>
      <c r="D30" s="85" t="s">
        <v>130</v>
      </c>
      <c r="E30" s="79" t="s">
        <v>120</v>
      </c>
      <c r="F30" s="246" t="s">
        <v>131</v>
      </c>
      <c r="G30" s="246"/>
      <c r="H30" s="246"/>
      <c r="I30" s="246"/>
      <c r="J30" s="246"/>
      <c r="K30" s="246"/>
      <c r="L30" s="126"/>
      <c r="M30" s="126"/>
      <c r="N30" s="126"/>
      <c r="O30" s="130"/>
      <c r="P30" s="130"/>
      <c r="Q30" s="130"/>
      <c r="R30" s="130"/>
      <c r="S30" s="130"/>
      <c r="T30" s="131"/>
      <c r="U30" s="131"/>
    </row>
    <row r="31" spans="2:21" ht="7.5" customHeight="1" x14ac:dyDescent="0.2">
      <c r="B31" s="80"/>
      <c r="C31" s="81"/>
      <c r="D31" s="82"/>
      <c r="E31" s="83"/>
      <c r="F31" s="84"/>
      <c r="G31" s="84"/>
      <c r="H31" s="84"/>
      <c r="I31" s="84"/>
      <c r="J31" s="84"/>
      <c r="K31" s="84"/>
      <c r="L31" s="126"/>
      <c r="M31" s="126"/>
      <c r="N31" s="126"/>
      <c r="O31" s="130"/>
      <c r="P31" s="130"/>
      <c r="Q31" s="130"/>
      <c r="R31" s="130"/>
      <c r="S31" s="130"/>
      <c r="T31" s="131"/>
      <c r="U31" s="131"/>
    </row>
    <row r="32" spans="2:21" x14ac:dyDescent="0.2">
      <c r="B32" s="9"/>
      <c r="C32" s="9"/>
      <c r="D32" s="71"/>
      <c r="E32" s="3"/>
      <c r="F32" s="9"/>
      <c r="G32" s="3"/>
      <c r="H32" s="3"/>
      <c r="I32" s="72"/>
      <c r="K32" s="73"/>
    </row>
    <row r="33" spans="1:21" ht="15.75" x14ac:dyDescent="0.25">
      <c r="B33" s="106" t="s">
        <v>124</v>
      </c>
      <c r="C33" s="106">
        <v>42274</v>
      </c>
      <c r="D33" s="107" t="s">
        <v>130</v>
      </c>
      <c r="E33" s="108" t="s">
        <v>120</v>
      </c>
      <c r="F33" s="109" t="str">
        <f>JohnBugejaTributeWomenGames!A10</f>
        <v>JBTW-07</v>
      </c>
      <c r="G33" s="109" t="str">
        <f>JohnBugejaTributeWomenGames!B10</f>
        <v>1st Round</v>
      </c>
      <c r="H33" s="109" t="str">
        <f>JohnBugejaTributeWomenGames!C10</f>
        <v>PAOLA</v>
      </c>
      <c r="I33" s="109" t="str">
        <f>JohnBugejaTributeWomenGames!D10</f>
        <v>FLYERS 2</v>
      </c>
      <c r="J33" s="109">
        <f>JohnBugejaTributeWomenGames!E10</f>
        <v>3</v>
      </c>
      <c r="K33" s="109">
        <f>JohnBugejaTributeWomenGames!F10</f>
        <v>1</v>
      </c>
      <c r="L33" s="132" t="s">
        <v>132</v>
      </c>
      <c r="M33" s="126"/>
      <c r="N33" s="126"/>
      <c r="O33" s="130"/>
      <c r="P33" s="130"/>
      <c r="Q33" s="130"/>
      <c r="R33" s="130"/>
      <c r="S33" s="130"/>
      <c r="T33" s="131"/>
      <c r="U33" s="131"/>
    </row>
    <row r="34" spans="1:21" x14ac:dyDescent="0.2">
      <c r="B34" s="80"/>
      <c r="C34" s="81"/>
      <c r="D34" s="85" t="s">
        <v>130</v>
      </c>
      <c r="E34" s="79" t="s">
        <v>120</v>
      </c>
      <c r="F34" s="86" t="str">
        <f>JohnBugejaTributeWomenGames!A11</f>
        <v>JBTW-08</v>
      </c>
      <c r="G34" s="86" t="str">
        <f>JohnBugejaTributeWomenGames!B11</f>
        <v>1st Round</v>
      </c>
      <c r="H34" s="86" t="str">
        <f>JohnBugejaTributeWomenGames!C11</f>
        <v>FLEUR DE LYS TWISTEES</v>
      </c>
      <c r="I34" s="86" t="str">
        <f>JohnBugejaTributeWomenGames!D11</f>
        <v>MELLIEHA</v>
      </c>
      <c r="J34" s="86">
        <f>JohnBugejaTributeWomenGames!E11</f>
        <v>3</v>
      </c>
      <c r="K34" s="86">
        <f>JohnBugejaTributeWomenGames!F11</f>
        <v>0</v>
      </c>
      <c r="M34" s="126"/>
      <c r="N34" s="126"/>
      <c r="O34" s="130"/>
      <c r="P34" s="130"/>
      <c r="Q34" s="130"/>
      <c r="R34" s="130"/>
      <c r="S34" s="130"/>
      <c r="T34" s="131"/>
      <c r="U34" s="131"/>
    </row>
    <row r="35" spans="1:21" ht="7.5" customHeight="1" x14ac:dyDescent="0.2">
      <c r="B35" s="80"/>
      <c r="C35" s="81"/>
      <c r="D35" s="82"/>
      <c r="E35" s="83"/>
      <c r="F35" s="84"/>
      <c r="G35" s="84"/>
      <c r="H35" s="84"/>
      <c r="I35" s="84"/>
      <c r="J35" s="84"/>
      <c r="K35" s="84"/>
      <c r="L35" s="126"/>
      <c r="M35" s="126"/>
      <c r="N35" s="126"/>
      <c r="O35" s="130"/>
      <c r="P35" s="130"/>
      <c r="Q35" s="130"/>
      <c r="R35" s="130"/>
      <c r="S35" s="130"/>
      <c r="T35" s="131"/>
      <c r="U35" s="131"/>
    </row>
    <row r="36" spans="1:21" x14ac:dyDescent="0.2">
      <c r="B36" s="76" t="s">
        <v>124</v>
      </c>
      <c r="C36" s="77">
        <v>42274</v>
      </c>
      <c r="D36" s="85" t="s">
        <v>133</v>
      </c>
      <c r="E36" s="79" t="s">
        <v>120</v>
      </c>
      <c r="F36" s="86" t="str">
        <f>JohnBugejaTributeWomenGames!A12</f>
        <v>JBTW-09</v>
      </c>
      <c r="G36" s="86" t="str">
        <f>JohnBugejaTributeWomenGames!B12</f>
        <v>1st Round</v>
      </c>
      <c r="H36" s="86" t="str">
        <f>JohnBugejaTributeWomenGames!C12</f>
        <v>FLYERS</v>
      </c>
      <c r="I36" s="86" t="str">
        <f>JohnBugejaTributeWomenGames!D12</f>
        <v>SWIEQI PHOENIX</v>
      </c>
      <c r="J36" s="86">
        <f>JohnBugejaTributeWomenGames!E12</f>
        <v>3</v>
      </c>
      <c r="K36" s="86">
        <f>JohnBugejaTributeWomenGames!F12</f>
        <v>0</v>
      </c>
      <c r="L36" s="126"/>
      <c r="M36" s="126"/>
      <c r="N36" s="126"/>
      <c r="O36" s="130"/>
      <c r="P36" s="130"/>
      <c r="Q36" s="130"/>
      <c r="R36" s="130"/>
      <c r="S36" s="130"/>
      <c r="T36" s="131"/>
      <c r="U36" s="131"/>
    </row>
    <row r="37" spans="1:21" x14ac:dyDescent="0.2">
      <c r="B37" s="80"/>
      <c r="C37" s="81"/>
      <c r="D37" s="85" t="s">
        <v>133</v>
      </c>
      <c r="E37" s="79" t="s">
        <v>120</v>
      </c>
      <c r="F37" s="86" t="str">
        <f>JohnBugejaTributeWomenGames!A13</f>
        <v>JBTW-10</v>
      </c>
      <c r="G37" s="86" t="str">
        <f>JohnBugejaTributeWomenGames!B13</f>
        <v>1st Round</v>
      </c>
      <c r="H37" s="86" t="str">
        <f>JohnBugejaTributeWomenGames!C13</f>
        <v>SLIEMA WANDERERS</v>
      </c>
      <c r="I37" s="86" t="str">
        <f>JohnBugejaTributeWomenGames!D13</f>
        <v>MGARR</v>
      </c>
      <c r="J37" s="86">
        <f>JohnBugejaTributeWomenGames!E13</f>
        <v>3</v>
      </c>
      <c r="K37" s="86">
        <f>JohnBugejaTributeWomenGames!F13</f>
        <v>2</v>
      </c>
      <c r="M37" s="126"/>
      <c r="N37" s="126"/>
      <c r="O37" s="130"/>
      <c r="P37" s="130"/>
      <c r="Q37" s="130"/>
      <c r="R37" s="130"/>
      <c r="S37" s="130"/>
      <c r="T37" s="131"/>
      <c r="U37" s="131"/>
    </row>
    <row r="38" spans="1:21" ht="7.5" customHeight="1" x14ac:dyDescent="0.2">
      <c r="B38" s="80"/>
      <c r="C38" s="81"/>
      <c r="D38" s="82"/>
      <c r="E38" s="83"/>
      <c r="F38" s="84"/>
      <c r="G38" s="84"/>
      <c r="H38" s="84"/>
      <c r="I38" s="84"/>
      <c r="J38" s="84"/>
      <c r="K38" s="84"/>
      <c r="L38" s="126"/>
      <c r="M38" s="126"/>
      <c r="N38" s="126"/>
      <c r="O38" s="130"/>
      <c r="P38" s="130"/>
      <c r="Q38" s="130"/>
      <c r="R38" s="130"/>
      <c r="S38" s="130"/>
      <c r="T38" s="131"/>
      <c r="U38" s="131"/>
    </row>
    <row r="39" spans="1:21" x14ac:dyDescent="0.2">
      <c r="B39" s="9"/>
      <c r="C39" s="9"/>
      <c r="D39" s="71"/>
      <c r="E39" s="3"/>
      <c r="F39" s="9"/>
      <c r="G39" s="3"/>
      <c r="H39" s="3"/>
      <c r="I39" s="72"/>
      <c r="K39" s="73"/>
    </row>
    <row r="40" spans="1:21" x14ac:dyDescent="0.2">
      <c r="B40" s="76" t="s">
        <v>127</v>
      </c>
      <c r="C40" s="77">
        <v>42276</v>
      </c>
      <c r="D40" s="78" t="s">
        <v>119</v>
      </c>
      <c r="E40" s="79" t="s">
        <v>120</v>
      </c>
      <c r="F40" s="86" t="str">
        <f>JohnBugejaTributeWomenGames!A14</f>
        <v>JBTW-11</v>
      </c>
      <c r="G40" s="86" t="str">
        <f>JohnBugejaTributeWomenGames!B14</f>
        <v>1st Round</v>
      </c>
      <c r="H40" s="86" t="str">
        <f>JohnBugejaTributeWomenGames!C14</f>
        <v>FLEUR DE LYS TWISTEES</v>
      </c>
      <c r="I40" s="86" t="str">
        <f>JohnBugejaTributeWomenGames!D14</f>
        <v>PAOLA</v>
      </c>
      <c r="J40" s="86">
        <f>JohnBugejaTributeWomenGames!E14</f>
        <v>3</v>
      </c>
      <c r="K40" s="86">
        <f>JohnBugejaTributeWomenGames!F14</f>
        <v>2</v>
      </c>
      <c r="L40" s="126"/>
      <c r="M40" s="126"/>
      <c r="N40" s="126"/>
      <c r="O40" s="130"/>
      <c r="P40" s="130"/>
      <c r="Q40" s="130"/>
      <c r="R40" s="130"/>
      <c r="S40" s="130"/>
      <c r="T40" s="131"/>
      <c r="U40" s="131"/>
    </row>
    <row r="41" spans="1:21" x14ac:dyDescent="0.2">
      <c r="B41" s="80"/>
      <c r="C41" s="81"/>
      <c r="D41" s="78" t="s">
        <v>119</v>
      </c>
      <c r="E41" s="79" t="s">
        <v>120</v>
      </c>
      <c r="F41" s="86" t="str">
        <f>JohnBugejaTributeWomenGames!A15</f>
        <v>JBTW-12</v>
      </c>
      <c r="G41" s="86" t="str">
        <f>JohnBugejaTributeWomenGames!B15</f>
        <v>1st Round</v>
      </c>
      <c r="H41" s="86" t="str">
        <f>JohnBugejaTributeWomenGames!C15</f>
        <v>FLYERS 2</v>
      </c>
      <c r="I41" s="86" t="str">
        <f>JohnBugejaTributeWomenGames!D15</f>
        <v>MELLIEHA</v>
      </c>
      <c r="J41" s="86">
        <f>JohnBugejaTributeWomenGames!E15</f>
        <v>1</v>
      </c>
      <c r="K41" s="86">
        <f>JohnBugejaTributeWomenGames!F15</f>
        <v>3</v>
      </c>
      <c r="M41" s="126"/>
      <c r="N41" s="126"/>
      <c r="O41" s="130"/>
      <c r="P41" s="130"/>
      <c r="Q41" s="130"/>
      <c r="R41" s="130"/>
      <c r="S41" s="130"/>
      <c r="T41" s="131"/>
      <c r="U41" s="131"/>
    </row>
    <row r="42" spans="1:21" ht="7.5" customHeight="1" x14ac:dyDescent="0.2">
      <c r="B42" s="80"/>
      <c r="C42" s="81"/>
      <c r="D42" s="82"/>
      <c r="E42" s="83"/>
      <c r="F42" s="84"/>
      <c r="G42" s="84"/>
      <c r="H42" s="84"/>
      <c r="I42" s="84"/>
      <c r="J42" s="84"/>
      <c r="K42" s="84"/>
      <c r="L42" s="126"/>
      <c r="M42" s="126"/>
      <c r="N42" s="126"/>
      <c r="O42" s="130"/>
      <c r="P42" s="130"/>
      <c r="Q42" s="130"/>
      <c r="R42" s="130"/>
      <c r="S42" s="130"/>
      <c r="T42" s="131"/>
      <c r="U42" s="131"/>
    </row>
    <row r="43" spans="1:21" x14ac:dyDescent="0.2">
      <c r="B43" s="9"/>
      <c r="C43" s="9"/>
      <c r="D43" s="71"/>
      <c r="E43" s="3"/>
      <c r="F43" s="9"/>
      <c r="G43" s="3"/>
      <c r="H43" s="3"/>
      <c r="I43" s="72"/>
      <c r="K43" s="73"/>
    </row>
    <row r="44" spans="1:21" s="127" customFormat="1" ht="26.25" x14ac:dyDescent="0.4">
      <c r="A44" s="242" t="s">
        <v>134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126"/>
      <c r="M44" s="126"/>
      <c r="N44" s="126"/>
      <c r="O44" s="130"/>
      <c r="P44" s="130"/>
      <c r="Q44" s="130"/>
      <c r="R44" s="130"/>
      <c r="S44" s="130"/>
      <c r="T44" s="130"/>
      <c r="U44" s="130"/>
    </row>
    <row r="45" spans="1:21" x14ac:dyDescent="0.2">
      <c r="B45" s="9"/>
      <c r="C45" s="74"/>
      <c r="D45" s="75"/>
      <c r="E45" s="3"/>
      <c r="F45" s="167"/>
      <c r="G45" s="167"/>
      <c r="H45" s="167"/>
      <c r="I45" s="167"/>
      <c r="J45" s="167"/>
      <c r="K45" s="167"/>
      <c r="L45" s="126"/>
      <c r="M45" s="126"/>
      <c r="N45" s="126"/>
      <c r="O45" s="130"/>
      <c r="P45" s="130"/>
      <c r="Q45" s="130"/>
      <c r="R45" s="130"/>
      <c r="S45" s="130"/>
      <c r="T45" s="131"/>
      <c r="U45" s="131"/>
    </row>
    <row r="46" spans="1:21" x14ac:dyDescent="0.2">
      <c r="B46" s="76" t="s">
        <v>118</v>
      </c>
      <c r="C46" s="77">
        <v>42278</v>
      </c>
      <c r="D46" s="85" t="s">
        <v>119</v>
      </c>
      <c r="E46" s="79" t="s">
        <v>120</v>
      </c>
      <c r="F46" s="86" t="str">
        <f>JohnBugejaTributeWomenGames!A8</f>
        <v>JBTW-05</v>
      </c>
      <c r="G46" s="86" t="str">
        <f>JohnBugejaTributeWomenGames!B8</f>
        <v>1st Round</v>
      </c>
      <c r="H46" s="86" t="str">
        <f>JohnBugejaTributeWomenGames!C8</f>
        <v>FLEUR DE LYS TWISTEES</v>
      </c>
      <c r="I46" s="86" t="str">
        <f>JohnBugejaTributeWomenGames!D8</f>
        <v>FLYERS 2</v>
      </c>
      <c r="J46" s="86">
        <f>JohnBugejaTributeWomenGames!E8</f>
        <v>3</v>
      </c>
      <c r="K46" s="86">
        <f>JohnBugejaTributeWomenGames!F8</f>
        <v>0</v>
      </c>
      <c r="M46" s="126"/>
      <c r="N46" s="126"/>
      <c r="O46" s="130"/>
      <c r="P46" s="130"/>
      <c r="Q46" s="130"/>
      <c r="R46" s="130"/>
      <c r="S46" s="130"/>
      <c r="T46" s="131"/>
      <c r="U46" s="131"/>
    </row>
    <row r="47" spans="1:21" x14ac:dyDescent="0.2">
      <c r="B47" s="80"/>
      <c r="C47" s="81"/>
      <c r="D47" s="78" t="s">
        <v>119</v>
      </c>
      <c r="E47" s="79" t="s">
        <v>120</v>
      </c>
      <c r="F47" s="86" t="str">
        <f>JohnBugejaTributeWomenGames!A9</f>
        <v>JBTW-06</v>
      </c>
      <c r="G47" s="86" t="str">
        <f>JohnBugejaTributeWomenGames!B9</f>
        <v>1st Round</v>
      </c>
      <c r="H47" s="86" t="str">
        <f>JohnBugejaTributeWomenGames!C9</f>
        <v>FLYERS</v>
      </c>
      <c r="I47" s="86" t="str">
        <f>JohnBugejaTributeWomenGames!D9</f>
        <v>MGARR</v>
      </c>
      <c r="J47" s="86">
        <f>JohnBugejaTributeWomenGames!E9</f>
        <v>3</v>
      </c>
      <c r="K47" s="86">
        <f>JohnBugejaTributeWomenGames!F9</f>
        <v>0</v>
      </c>
      <c r="M47" s="126"/>
      <c r="N47" s="126"/>
      <c r="O47" s="130"/>
      <c r="P47" s="130"/>
      <c r="Q47" s="130"/>
      <c r="R47" s="130"/>
      <c r="S47" s="130"/>
      <c r="T47" s="131"/>
      <c r="U47" s="131"/>
    </row>
    <row r="48" spans="1:21" ht="7.5" customHeight="1" x14ac:dyDescent="0.2">
      <c r="B48" s="80"/>
      <c r="C48" s="81"/>
      <c r="D48" s="82"/>
      <c r="E48" s="83"/>
      <c r="F48" s="84"/>
      <c r="G48" s="84"/>
      <c r="H48" s="84"/>
      <c r="I48" s="84"/>
      <c r="J48" s="84"/>
      <c r="K48" s="84"/>
      <c r="L48" s="126"/>
      <c r="M48" s="126"/>
      <c r="N48" s="126"/>
      <c r="O48" s="130"/>
      <c r="P48" s="130"/>
      <c r="Q48" s="130"/>
      <c r="R48" s="130"/>
      <c r="S48" s="130"/>
      <c r="T48" s="131"/>
      <c r="U48" s="131"/>
    </row>
    <row r="49" spans="2:21" x14ac:dyDescent="0.2">
      <c r="B49" s="9"/>
      <c r="C49" s="9"/>
      <c r="D49" s="71"/>
      <c r="E49" s="3"/>
      <c r="F49" s="9"/>
      <c r="G49" s="3"/>
      <c r="H49" s="3"/>
      <c r="I49" s="72"/>
      <c r="K49" s="73"/>
    </row>
    <row r="50" spans="2:21" x14ac:dyDescent="0.2">
      <c r="B50" s="105" t="s">
        <v>121</v>
      </c>
      <c r="C50" s="106">
        <v>42280</v>
      </c>
      <c r="D50" s="107" t="s">
        <v>130</v>
      </c>
      <c r="E50" s="108" t="s">
        <v>120</v>
      </c>
      <c r="F50" s="109" t="str">
        <f>JohnBugejaTributeWomenGames!A10</f>
        <v>JBTW-07</v>
      </c>
      <c r="G50" s="109" t="str">
        <f>JohnBugejaTributeWomenGames!B10</f>
        <v>1st Round</v>
      </c>
      <c r="H50" s="109" t="str">
        <f>JohnBugejaTributeWomenGames!C10</f>
        <v>PAOLA</v>
      </c>
      <c r="I50" s="109" t="str">
        <f>JohnBugejaTributeWomenGames!D10</f>
        <v>FLYERS 2</v>
      </c>
      <c r="J50" s="109">
        <f>JohnBugejaTributeWomenGames!E10</f>
        <v>3</v>
      </c>
      <c r="K50" s="109">
        <f>JohnBugejaTributeWomenGames!F10</f>
        <v>1</v>
      </c>
      <c r="L50" s="126"/>
      <c r="M50" s="126"/>
      <c r="N50" s="126"/>
      <c r="O50" s="130"/>
      <c r="P50" s="130"/>
      <c r="Q50" s="130"/>
      <c r="R50" s="130"/>
      <c r="S50" s="130"/>
      <c r="T50" s="131"/>
      <c r="U50" s="131"/>
    </row>
    <row r="51" spans="2:21" x14ac:dyDescent="0.2">
      <c r="B51" s="9"/>
      <c r="C51" s="9"/>
      <c r="D51" s="71"/>
      <c r="E51" s="3"/>
      <c r="F51" s="9"/>
      <c r="G51" s="3"/>
      <c r="H51" s="3"/>
      <c r="I51" s="72"/>
      <c r="K51" s="73"/>
    </row>
    <row r="52" spans="2:21" x14ac:dyDescent="0.2">
      <c r="B52" s="76" t="s">
        <v>124</v>
      </c>
      <c r="C52" s="77">
        <v>42281</v>
      </c>
      <c r="D52" s="78" t="s">
        <v>129</v>
      </c>
      <c r="E52" s="79" t="s">
        <v>120</v>
      </c>
      <c r="F52" s="86" t="str">
        <f>JohnBugejaTributeMenGames!A4</f>
        <v>JBTM-01</v>
      </c>
      <c r="G52" s="86" t="str">
        <f>JohnBugejaTributeMenGames!B6</f>
        <v>1st Round</v>
      </c>
      <c r="H52" s="86" t="str">
        <f>JohnBugejaTributeMenGames!C6</f>
        <v>FLEUR DE LYS TWISTEES</v>
      </c>
      <c r="I52" s="86" t="str">
        <f>JohnBugejaTributeMenGames!D6</f>
        <v>ALOYSIANS</v>
      </c>
      <c r="J52" s="86">
        <f>JohnBugejaTributeMenGames!E6</f>
        <v>3</v>
      </c>
      <c r="K52" s="86">
        <f>JohnBugejaTributeMenGames!F6</f>
        <v>1</v>
      </c>
      <c r="M52" s="126"/>
      <c r="N52" s="126"/>
      <c r="O52" s="130"/>
      <c r="P52" s="130"/>
      <c r="Q52" s="130"/>
      <c r="R52" s="130"/>
      <c r="S52" s="130"/>
      <c r="T52" s="131"/>
      <c r="U52" s="131"/>
    </row>
    <row r="53" spans="2:21" ht="7.5" customHeight="1" x14ac:dyDescent="0.2">
      <c r="B53" s="80"/>
      <c r="C53" s="81"/>
      <c r="D53" s="82"/>
      <c r="E53" s="83"/>
      <c r="F53" s="84"/>
      <c r="G53" s="84"/>
      <c r="H53" s="84"/>
      <c r="I53" s="84"/>
      <c r="J53" s="84"/>
      <c r="K53" s="84"/>
      <c r="L53" s="126"/>
      <c r="M53" s="126"/>
      <c r="N53" s="126"/>
      <c r="O53" s="130"/>
      <c r="P53" s="130"/>
      <c r="Q53" s="130"/>
      <c r="R53" s="130"/>
      <c r="S53" s="130"/>
      <c r="T53" s="131"/>
      <c r="U53" s="131"/>
    </row>
    <row r="54" spans="2:21" x14ac:dyDescent="0.2">
      <c r="B54" s="76" t="s">
        <v>124</v>
      </c>
      <c r="C54" s="77">
        <v>42281</v>
      </c>
      <c r="D54" s="85" t="s">
        <v>130</v>
      </c>
      <c r="E54" s="79" t="s">
        <v>120</v>
      </c>
      <c r="F54" s="86" t="str">
        <f>JohnBugejaTributeWomenGames!A16</f>
        <v>JBTW-13</v>
      </c>
      <c r="G54" s="86" t="str">
        <f>JohnBugejaTributeWomenGames!B16</f>
        <v>Semi-Final 1</v>
      </c>
      <c r="H54" s="86" t="str">
        <f>JohnBugejaTributeWomenGames!C16</f>
        <v>FLYERS</v>
      </c>
      <c r="I54" s="86" t="str">
        <f>JohnBugejaTributeWomenGames!D16</f>
        <v>PAOLA</v>
      </c>
      <c r="J54" s="86">
        <f>JohnBugejaTributeWomenGames!E16</f>
        <v>3</v>
      </c>
      <c r="K54" s="86">
        <f>JohnBugejaTributeWomenGames!F16</f>
        <v>0</v>
      </c>
      <c r="L54" s="126"/>
      <c r="M54" s="126"/>
      <c r="N54" s="126"/>
      <c r="O54" s="130"/>
      <c r="P54" s="130"/>
      <c r="Q54" s="130"/>
      <c r="R54" s="130"/>
      <c r="S54" s="130"/>
      <c r="T54" s="131"/>
      <c r="U54" s="131"/>
    </row>
    <row r="55" spans="2:21" ht="7.5" customHeight="1" x14ac:dyDescent="0.2">
      <c r="B55" s="80"/>
      <c r="C55" s="81"/>
      <c r="D55" s="82"/>
      <c r="E55" s="83"/>
      <c r="F55" s="84"/>
      <c r="G55" s="84"/>
      <c r="H55" s="84"/>
      <c r="I55" s="84"/>
      <c r="J55" s="84"/>
      <c r="K55" s="84"/>
      <c r="L55" s="126"/>
      <c r="M55" s="126"/>
      <c r="N55" s="126"/>
      <c r="O55" s="130"/>
      <c r="P55" s="130"/>
      <c r="Q55" s="130"/>
      <c r="R55" s="130"/>
      <c r="S55" s="130"/>
      <c r="T55" s="131"/>
      <c r="U55" s="131"/>
    </row>
    <row r="56" spans="2:21" x14ac:dyDescent="0.2">
      <c r="B56" s="76" t="s">
        <v>124</v>
      </c>
      <c r="C56" s="77">
        <v>42281</v>
      </c>
      <c r="D56" s="85" t="s">
        <v>133</v>
      </c>
      <c r="E56" s="79" t="s">
        <v>120</v>
      </c>
      <c r="F56" s="86" t="str">
        <f>JohnBugejaTributeWomenGames!A17</f>
        <v>JBTW-14</v>
      </c>
      <c r="G56" s="86" t="str">
        <f>JohnBugejaTributeWomenGames!B17</f>
        <v>Semi-Final 2</v>
      </c>
      <c r="H56" s="86" t="str">
        <f>JohnBugejaTributeWomenGames!C17</f>
        <v>FLEUR DE LYS TWISTEES</v>
      </c>
      <c r="I56" s="86" t="str">
        <f>JohnBugejaTributeWomenGames!D17</f>
        <v>SLIEMA WANDERERS</v>
      </c>
      <c r="J56" s="86">
        <f>JohnBugejaTributeWomenGames!E17</f>
        <v>3</v>
      </c>
      <c r="K56" s="86">
        <f>JohnBugejaTributeWomenGames!F17</f>
        <v>0</v>
      </c>
    </row>
    <row r="57" spans="2:21" ht="7.5" customHeight="1" x14ac:dyDescent="0.2">
      <c r="B57" s="80"/>
      <c r="C57" s="81"/>
      <c r="D57" s="82"/>
      <c r="E57" s="83"/>
      <c r="F57" s="84"/>
      <c r="G57" s="84"/>
      <c r="H57" s="84"/>
      <c r="I57" s="84"/>
      <c r="J57" s="84"/>
      <c r="K57" s="84"/>
      <c r="L57" s="126"/>
      <c r="M57" s="126"/>
      <c r="N57" s="126"/>
      <c r="O57" s="130"/>
      <c r="P57" s="130"/>
      <c r="Q57" s="130"/>
      <c r="R57" s="130"/>
      <c r="S57" s="130"/>
      <c r="T57" s="131"/>
      <c r="U57" s="131"/>
    </row>
    <row r="58" spans="2:21" x14ac:dyDescent="0.2">
      <c r="B58" s="9"/>
      <c r="C58" s="9"/>
      <c r="D58" s="71"/>
      <c r="E58" s="3"/>
      <c r="F58" s="9"/>
      <c r="G58" s="3"/>
      <c r="H58" s="3"/>
      <c r="I58" s="72"/>
      <c r="K58" s="73"/>
    </row>
    <row r="59" spans="2:21" x14ac:dyDescent="0.2">
      <c r="B59" s="76" t="s">
        <v>127</v>
      </c>
      <c r="C59" s="77">
        <v>42283</v>
      </c>
      <c r="D59" s="78" t="s">
        <v>119</v>
      </c>
      <c r="E59" s="79" t="s">
        <v>120</v>
      </c>
      <c r="F59" s="86" t="str">
        <f>JohnBugejaTributeMenGames!A5</f>
        <v>JBTM-02</v>
      </c>
      <c r="G59" s="86" t="str">
        <f>JohnBugejaTributeMenGames!B5</f>
        <v>1st Round</v>
      </c>
      <c r="H59" s="86" t="str">
        <f>JohnBugejaTributeMenGames!C5</f>
        <v>FLEUR DE LYS TWISTEES</v>
      </c>
      <c r="I59" s="86" t="str">
        <f>JohnBugejaTributeMenGames!D5</f>
        <v>VALLETTA MAPEI</v>
      </c>
      <c r="J59" s="86">
        <f>JohnBugejaTributeMenGames!E5</f>
        <v>3</v>
      </c>
      <c r="K59" s="86">
        <f>JohnBugejaTributeMenGames!F5</f>
        <v>2</v>
      </c>
      <c r="L59" s="126"/>
      <c r="M59" s="126"/>
      <c r="N59" s="126"/>
      <c r="O59" s="130"/>
      <c r="P59" s="130"/>
      <c r="Q59" s="130"/>
      <c r="R59" s="130"/>
      <c r="S59" s="130"/>
      <c r="T59" s="131"/>
      <c r="U59" s="131"/>
    </row>
    <row r="60" spans="2:21" ht="7.5" customHeight="1" x14ac:dyDescent="0.2">
      <c r="B60" s="80"/>
      <c r="C60" s="81"/>
      <c r="D60" s="82"/>
      <c r="E60" s="83"/>
      <c r="F60" s="84"/>
      <c r="G60" s="84"/>
      <c r="H60" s="84"/>
      <c r="I60" s="84"/>
      <c r="J60" s="84"/>
      <c r="K60" s="84"/>
      <c r="L60" s="126"/>
      <c r="M60" s="126"/>
      <c r="N60" s="126"/>
      <c r="O60" s="130"/>
      <c r="P60" s="130"/>
      <c r="Q60" s="130"/>
      <c r="R60" s="130"/>
      <c r="S60" s="130"/>
      <c r="T60" s="131"/>
      <c r="U60" s="131"/>
    </row>
    <row r="61" spans="2:21" x14ac:dyDescent="0.2">
      <c r="B61" s="9"/>
      <c r="C61" s="9"/>
      <c r="D61" s="71"/>
      <c r="E61" s="3"/>
      <c r="F61" s="9"/>
      <c r="G61" s="3"/>
      <c r="H61" s="3"/>
      <c r="I61" s="72"/>
      <c r="K61" s="73"/>
    </row>
    <row r="62" spans="2:21" x14ac:dyDescent="0.2">
      <c r="B62" s="76" t="s">
        <v>124</v>
      </c>
      <c r="C62" s="77">
        <v>42288</v>
      </c>
      <c r="D62" s="85" t="s">
        <v>129</v>
      </c>
      <c r="E62" s="79" t="s">
        <v>120</v>
      </c>
      <c r="F62" s="86" t="str">
        <f>JohnBugejaTributeWomenGames!A18</f>
        <v>JBTW-15</v>
      </c>
      <c r="G62" s="86" t="str">
        <f>JohnBugejaTributeWomenGames!B18</f>
        <v>Final 3/4</v>
      </c>
      <c r="H62" s="86" t="str">
        <f>JohnBugejaTributeWomenGames!C18</f>
        <v>PAOLA</v>
      </c>
      <c r="I62" s="86" t="str">
        <f>JohnBugejaTributeWomenGames!D18</f>
        <v>SLIEMA WANDERERS</v>
      </c>
      <c r="J62" s="86">
        <f>JohnBugejaTributeWomenGames!E18</f>
        <v>3</v>
      </c>
      <c r="K62" s="86">
        <f>JohnBugejaTributeWomenGames!F18</f>
        <v>0</v>
      </c>
      <c r="M62" s="126"/>
      <c r="N62" s="126"/>
      <c r="O62" s="130"/>
      <c r="P62" s="130"/>
      <c r="Q62" s="130"/>
      <c r="R62" s="130"/>
      <c r="S62" s="130"/>
      <c r="T62" s="131"/>
      <c r="U62" s="131"/>
    </row>
    <row r="63" spans="2:21" ht="7.5" customHeight="1" x14ac:dyDescent="0.2">
      <c r="B63" s="80"/>
      <c r="C63" s="81"/>
      <c r="D63" s="82"/>
      <c r="E63" s="83"/>
      <c r="F63" s="84"/>
      <c r="G63" s="84"/>
      <c r="H63" s="84"/>
      <c r="I63" s="84"/>
      <c r="J63" s="84"/>
      <c r="K63" s="84"/>
      <c r="L63" s="126"/>
      <c r="M63" s="126"/>
      <c r="N63" s="126"/>
      <c r="O63" s="130"/>
      <c r="P63" s="130"/>
      <c r="Q63" s="130"/>
      <c r="R63" s="130"/>
      <c r="S63" s="130"/>
      <c r="T63" s="131"/>
      <c r="U63" s="131"/>
    </row>
    <row r="64" spans="2:21" x14ac:dyDescent="0.2">
      <c r="B64" s="76" t="s">
        <v>124</v>
      </c>
      <c r="C64" s="77">
        <v>42288</v>
      </c>
      <c r="D64" s="85" t="s">
        <v>130</v>
      </c>
      <c r="E64" s="79" t="s">
        <v>120</v>
      </c>
      <c r="F64" s="86" t="str">
        <f>JohnBugejaTributeWomenGames!A19</f>
        <v>JBTW-16</v>
      </c>
      <c r="G64" s="86" t="str">
        <f>JohnBugejaTributeWomenGames!B19</f>
        <v>Final 1/2</v>
      </c>
      <c r="H64" s="86" t="str">
        <f>JohnBugejaTributeWomenGames!C19</f>
        <v>FLYERS</v>
      </c>
      <c r="I64" s="86" t="str">
        <f>JohnBugejaTributeWomenGames!D19</f>
        <v>FLEUR DE LYS TWISTEES</v>
      </c>
      <c r="J64" s="86">
        <f>JohnBugejaTributeWomenGames!E19</f>
        <v>3</v>
      </c>
      <c r="K64" s="86">
        <f>JohnBugejaTributeWomenGames!F19</f>
        <v>2</v>
      </c>
      <c r="L64" s="126"/>
      <c r="M64" s="126"/>
      <c r="N64" s="126"/>
      <c r="O64" s="130"/>
      <c r="P64" s="130"/>
      <c r="Q64" s="130"/>
      <c r="R64" s="130"/>
      <c r="S64" s="130"/>
      <c r="T64" s="131"/>
      <c r="U64" s="131"/>
    </row>
    <row r="65" spans="2:21" ht="7.5" customHeight="1" x14ac:dyDescent="0.2">
      <c r="B65" s="80"/>
      <c r="C65" s="81"/>
      <c r="D65" s="82"/>
      <c r="E65" s="83"/>
      <c r="F65" s="84"/>
      <c r="G65" s="84"/>
      <c r="H65" s="84"/>
      <c r="I65" s="84"/>
      <c r="J65" s="84"/>
      <c r="K65" s="84"/>
      <c r="L65" s="126"/>
      <c r="M65" s="126"/>
      <c r="N65" s="126"/>
      <c r="O65" s="130"/>
      <c r="P65" s="130"/>
      <c r="Q65" s="130"/>
      <c r="R65" s="130"/>
      <c r="S65" s="130"/>
      <c r="T65" s="131"/>
      <c r="U65" s="131"/>
    </row>
    <row r="66" spans="2:21" x14ac:dyDescent="0.2">
      <c r="B66" s="76" t="s">
        <v>124</v>
      </c>
      <c r="C66" s="77">
        <v>42288</v>
      </c>
      <c r="D66" s="85" t="s">
        <v>133</v>
      </c>
      <c r="E66" s="79" t="s">
        <v>120</v>
      </c>
      <c r="F66" s="86" t="str">
        <f>JohnBugejaTributeMenGames!A7</f>
        <v>JBTM-04</v>
      </c>
      <c r="G66" s="86" t="str">
        <f>JohnBugejaTributeMenGames!B7</f>
        <v>Final</v>
      </c>
      <c r="H66" s="86" t="str">
        <f>JohnBugejaTributeMenGames!C7</f>
        <v>FLEUR DE LYS TWISTEES</v>
      </c>
      <c r="I66" s="86" t="str">
        <f>JohnBugejaTributeMenGames!D7</f>
        <v>ALOYSIANS</v>
      </c>
      <c r="J66" s="86">
        <f>JohnBugejaTributeMenGames!E7</f>
        <v>3</v>
      </c>
      <c r="K66" s="86">
        <f>JohnBugejaTributeMenGames!F7</f>
        <v>0</v>
      </c>
    </row>
    <row r="67" spans="2:21" ht="7.5" customHeight="1" x14ac:dyDescent="0.2">
      <c r="B67" s="80"/>
      <c r="C67" s="81"/>
      <c r="D67" s="82"/>
      <c r="E67" s="83"/>
      <c r="F67" s="84"/>
      <c r="G67" s="84"/>
      <c r="H67" s="84"/>
      <c r="I67" s="84"/>
      <c r="J67" s="84"/>
      <c r="K67" s="84"/>
      <c r="L67" s="126"/>
      <c r="M67" s="126"/>
      <c r="N67" s="126"/>
      <c r="O67" s="130"/>
      <c r="P67" s="130"/>
      <c r="Q67" s="130"/>
      <c r="R67" s="130"/>
      <c r="S67" s="130"/>
      <c r="T67" s="131"/>
      <c r="U67" s="131"/>
    </row>
    <row r="69" spans="2:21" x14ac:dyDescent="0.2">
      <c r="B69" s="76" t="s">
        <v>124</v>
      </c>
      <c r="C69" s="77">
        <v>42295</v>
      </c>
      <c r="D69" s="78" t="s">
        <v>135</v>
      </c>
      <c r="E69" s="79" t="s">
        <v>120</v>
      </c>
      <c r="F69" s="86" t="str">
        <f>'SuperCup Women'!A4</f>
        <v>SCW-01</v>
      </c>
      <c r="G69" s="86" t="str">
        <f>'SuperCup Women'!B4</f>
        <v>1st Round</v>
      </c>
      <c r="H69" s="86" t="str">
        <f>'SuperCup Women'!C4</f>
        <v>FLEUR DE LYS TWISTEES</v>
      </c>
      <c r="I69" s="86" t="str">
        <f>'SuperCup Women'!D4</f>
        <v>FLYERS</v>
      </c>
      <c r="J69" s="86">
        <f>'SuperCup Women'!E4</f>
        <v>0</v>
      </c>
      <c r="K69" s="86">
        <f>'SuperCup Women'!F4</f>
        <v>3</v>
      </c>
      <c r="L69" s="125"/>
      <c r="M69" s="126"/>
      <c r="N69" s="126"/>
      <c r="O69" s="130"/>
      <c r="P69" s="130"/>
      <c r="Q69" s="130"/>
      <c r="R69" s="130"/>
      <c r="S69" s="130"/>
      <c r="T69" s="131"/>
      <c r="U69" s="131"/>
    </row>
    <row r="70" spans="2:21" ht="7.5" customHeight="1" x14ac:dyDescent="0.2">
      <c r="B70" s="80"/>
      <c r="C70" s="81"/>
      <c r="D70" s="82"/>
      <c r="E70" s="83"/>
      <c r="F70" s="84"/>
      <c r="G70" s="84"/>
      <c r="H70" s="84"/>
      <c r="I70" s="84"/>
      <c r="J70" s="84"/>
      <c r="K70" s="84"/>
      <c r="L70" s="126"/>
      <c r="M70" s="126"/>
      <c r="N70" s="126"/>
      <c r="O70" s="130"/>
      <c r="P70" s="130"/>
      <c r="Q70" s="130"/>
      <c r="R70" s="130"/>
      <c r="S70" s="130"/>
      <c r="T70" s="131"/>
      <c r="U70" s="131"/>
    </row>
    <row r="71" spans="2:21" x14ac:dyDescent="0.2">
      <c r="B71" s="76" t="s">
        <v>124</v>
      </c>
      <c r="C71" s="77">
        <v>42295</v>
      </c>
      <c r="D71" s="85" t="s">
        <v>136</v>
      </c>
      <c r="E71" s="79" t="s">
        <v>120</v>
      </c>
      <c r="F71" s="86" t="str">
        <f>WomenLeagueGames1stRound!A4</f>
        <v>WL-01</v>
      </c>
      <c r="G71" s="86" t="str">
        <f>WomenLeagueGames1stRound!B4</f>
        <v>1st Round</v>
      </c>
      <c r="H71" s="86" t="str">
        <f>WomenLeagueGames1stRound!C4</f>
        <v>PLAYVOLLEY GENERAL MEMBRANE</v>
      </c>
      <c r="I71" s="86" t="str">
        <f>WomenLeagueGames1stRound!D4</f>
        <v>MELLIEHA TRITONES</v>
      </c>
      <c r="J71" s="86">
        <f>WomenLeagueGames1stRound!E4</f>
        <v>1</v>
      </c>
      <c r="K71" s="86">
        <f>WomenLeagueGames1stRound!F4</f>
        <v>3</v>
      </c>
    </row>
    <row r="72" spans="2:21" ht="7.5" customHeight="1" x14ac:dyDescent="0.2">
      <c r="B72" s="80"/>
      <c r="C72" s="81"/>
      <c r="D72" s="82"/>
      <c r="E72" s="83"/>
      <c r="F72" s="84"/>
      <c r="G72" s="84"/>
      <c r="H72" s="84"/>
      <c r="I72" s="84"/>
      <c r="J72" s="84"/>
      <c r="K72" s="84"/>
      <c r="L72" s="126"/>
      <c r="M72" s="126"/>
      <c r="N72" s="126"/>
      <c r="O72" s="130"/>
      <c r="P72" s="130"/>
      <c r="Q72" s="130"/>
      <c r="R72" s="130"/>
      <c r="S72" s="130"/>
      <c r="T72" s="131"/>
      <c r="U72" s="131"/>
    </row>
    <row r="74" spans="2:21" x14ac:dyDescent="0.2">
      <c r="B74" s="76" t="s">
        <v>121</v>
      </c>
      <c r="C74" s="77">
        <v>42301</v>
      </c>
      <c r="D74" s="78" t="s">
        <v>137</v>
      </c>
      <c r="E74" s="79" t="s">
        <v>120</v>
      </c>
      <c r="F74" s="86" t="str">
        <f>WomenLeagueGames1stRound!A6</f>
        <v>WL-03</v>
      </c>
      <c r="G74" s="86" t="str">
        <f>WomenLeagueGames1stRound!B6</f>
        <v>1st Round</v>
      </c>
      <c r="H74" s="86" t="str">
        <f>WomenLeagueGames1stRound!C6</f>
        <v>SWIEQI PHOENIX</v>
      </c>
      <c r="I74" s="86" t="str">
        <f>WomenLeagueGames1stRound!D6</f>
        <v>FLEUR DE LYS TWISTEES</v>
      </c>
      <c r="J74" s="86">
        <f>WomenLeagueGames1stRound!E6</f>
        <v>0</v>
      </c>
      <c r="K74" s="86">
        <f>WomenLeagueGames1stRound!F6</f>
        <v>3</v>
      </c>
      <c r="M74" s="126"/>
      <c r="N74" s="126"/>
      <c r="O74" s="130"/>
      <c r="P74" s="130"/>
      <c r="Q74" s="130"/>
      <c r="R74" s="130"/>
      <c r="S74" s="130"/>
      <c r="T74" s="131"/>
      <c r="U74" s="131"/>
    </row>
    <row r="75" spans="2:21" ht="7.5" customHeight="1" x14ac:dyDescent="0.2">
      <c r="B75" s="80"/>
      <c r="C75" s="81"/>
      <c r="D75" s="82"/>
      <c r="E75" s="83"/>
      <c r="F75" s="84"/>
      <c r="G75" s="84"/>
      <c r="H75" s="84"/>
      <c r="I75" s="84"/>
      <c r="J75" s="84"/>
      <c r="K75" s="84"/>
      <c r="L75" s="126"/>
      <c r="M75" s="126"/>
      <c r="N75" s="126"/>
      <c r="O75" s="130"/>
      <c r="P75" s="130"/>
      <c r="Q75" s="130"/>
      <c r="R75" s="130"/>
      <c r="S75" s="130"/>
      <c r="T75" s="131"/>
      <c r="U75" s="131"/>
    </row>
    <row r="76" spans="2:21" ht="15.75" x14ac:dyDescent="0.25">
      <c r="B76" s="133" t="s">
        <v>121</v>
      </c>
      <c r="C76" s="134">
        <v>42301</v>
      </c>
      <c r="D76" s="135" t="s">
        <v>138</v>
      </c>
      <c r="E76" s="136" t="s">
        <v>120</v>
      </c>
      <c r="F76" s="137" t="str">
        <f>WomenLeagueGames1stRound!A7</f>
        <v>WL-04</v>
      </c>
      <c r="G76" s="137" t="str">
        <f>WomenLeagueGames1stRound!B7</f>
        <v>1st Round</v>
      </c>
      <c r="H76" s="137" t="str">
        <f>WomenLeagueGames1stRound!C7</f>
        <v>BALZAN FLYERS 2</v>
      </c>
      <c r="I76" s="137" t="str">
        <f>WomenLeagueGames1stRound!D7</f>
        <v>BIRKIRKARA</v>
      </c>
      <c r="J76" s="137">
        <f>WomenLeagueGames1stRound!E7</f>
        <v>3</v>
      </c>
      <c r="K76" s="137">
        <f>WomenLeagueGames1stRound!F7</f>
        <v>0</v>
      </c>
      <c r="L76" s="132" t="s">
        <v>139</v>
      </c>
    </row>
    <row r="77" spans="2:21" ht="7.5" customHeight="1" x14ac:dyDescent="0.2">
      <c r="B77" s="80"/>
      <c r="C77" s="81"/>
      <c r="D77" s="82"/>
      <c r="E77" s="83"/>
      <c r="F77" s="84"/>
      <c r="G77" s="84"/>
      <c r="H77" s="84"/>
      <c r="I77" s="84"/>
      <c r="J77" s="84"/>
      <c r="K77" s="84"/>
      <c r="L77" s="126"/>
      <c r="M77" s="126"/>
      <c r="N77" s="126"/>
      <c r="O77" s="130"/>
      <c r="P77" s="130"/>
      <c r="Q77" s="130"/>
      <c r="R77" s="130"/>
      <c r="S77" s="130"/>
      <c r="T77" s="131"/>
      <c r="U77" s="131"/>
    </row>
    <row r="79" spans="2:21" x14ac:dyDescent="0.2">
      <c r="B79" s="111" t="s">
        <v>124</v>
      </c>
      <c r="C79" s="112">
        <v>42302</v>
      </c>
      <c r="D79" s="121" t="s">
        <v>140</v>
      </c>
      <c r="E79" s="114" t="s">
        <v>120</v>
      </c>
      <c r="F79" s="115" t="str">
        <f>WomenUnder16!A4</f>
        <v>WU16L-01</v>
      </c>
      <c r="G79" s="115" t="str">
        <f>WomenUnder16!B4</f>
        <v>1st Round</v>
      </c>
      <c r="H79" s="115" t="str">
        <f>WomenUnder16!C4</f>
        <v>PAOLA</v>
      </c>
      <c r="I79" s="115" t="str">
        <f>WomenUnder16!D4</f>
        <v>BALZAN FLYERS CROSSCRAFT</v>
      </c>
      <c r="J79" s="115">
        <f>WomenUnder16!E4</f>
        <v>0</v>
      </c>
      <c r="K79" s="115">
        <f>WomenUnder16!F4</f>
        <v>3</v>
      </c>
      <c r="L79" s="126"/>
      <c r="M79" s="126"/>
      <c r="N79" s="126"/>
      <c r="O79" s="130"/>
      <c r="P79" s="130"/>
      <c r="Q79" s="130"/>
      <c r="R79" s="130"/>
      <c r="S79" s="130"/>
      <c r="T79" s="131"/>
      <c r="U79" s="131"/>
    </row>
    <row r="80" spans="2:21" ht="7.5" customHeight="1" x14ac:dyDescent="0.2">
      <c r="B80" s="116"/>
      <c r="C80" s="117"/>
      <c r="D80" s="118"/>
      <c r="E80" s="119"/>
      <c r="F80" s="120"/>
      <c r="G80" s="120"/>
      <c r="H80" s="120"/>
      <c r="I80" s="120"/>
      <c r="J80" s="120"/>
      <c r="K80" s="120"/>
      <c r="L80" s="126"/>
      <c r="M80" s="126"/>
      <c r="N80" s="126"/>
      <c r="O80" s="130"/>
      <c r="P80" s="130"/>
      <c r="Q80" s="130"/>
      <c r="R80" s="130"/>
      <c r="S80" s="130"/>
      <c r="T80" s="131"/>
      <c r="U80" s="131"/>
    </row>
    <row r="81" spans="2:21" ht="15.75" x14ac:dyDescent="0.25">
      <c r="B81" s="133" t="s">
        <v>124</v>
      </c>
      <c r="C81" s="134">
        <v>42302</v>
      </c>
      <c r="D81" s="135" t="s">
        <v>140</v>
      </c>
      <c r="E81" s="136" t="s">
        <v>120</v>
      </c>
      <c r="F81" s="137" t="str">
        <f>WomenUnder16!A5</f>
        <v>WU16L-02</v>
      </c>
      <c r="G81" s="137" t="str">
        <f>WomenUnder16!B5</f>
        <v>1st Round</v>
      </c>
      <c r="H81" s="137" t="str">
        <f>WomenUnder16!C5</f>
        <v>SWIEQI PHOENIX</v>
      </c>
      <c r="I81" s="137" t="str">
        <f>WomenUnder16!D5</f>
        <v>FLEUR DE LYS TWISTEES</v>
      </c>
      <c r="J81" s="137">
        <f>WomenUnder16!E5</f>
        <v>0</v>
      </c>
      <c r="K81" s="137">
        <f>WomenUnder16!F5</f>
        <v>3</v>
      </c>
      <c r="L81" s="132" t="s">
        <v>139</v>
      </c>
      <c r="M81" s="126"/>
      <c r="N81" s="126"/>
      <c r="O81" s="130"/>
      <c r="P81" s="130"/>
      <c r="Q81" s="130"/>
      <c r="R81" s="130"/>
      <c r="S81" s="130"/>
      <c r="T81" s="131"/>
      <c r="U81" s="131"/>
    </row>
    <row r="82" spans="2:21" ht="7.5" customHeight="1" x14ac:dyDescent="0.2">
      <c r="B82" s="116"/>
      <c r="C82" s="117"/>
      <c r="D82" s="118"/>
      <c r="E82" s="119"/>
      <c r="F82" s="120"/>
      <c r="G82" s="120"/>
      <c r="H82" s="120"/>
      <c r="I82" s="120"/>
      <c r="J82" s="120"/>
      <c r="K82" s="120"/>
      <c r="L82" s="126"/>
      <c r="M82" s="126"/>
      <c r="N82" s="126"/>
      <c r="O82" s="130"/>
      <c r="P82" s="130"/>
      <c r="Q82" s="130"/>
      <c r="R82" s="130"/>
      <c r="S82" s="130"/>
      <c r="T82" s="131"/>
      <c r="U82" s="131"/>
    </row>
    <row r="83" spans="2:21" x14ac:dyDescent="0.2">
      <c r="B83" s="76" t="s">
        <v>124</v>
      </c>
      <c r="C83" s="77">
        <v>42302</v>
      </c>
      <c r="D83" s="85" t="s">
        <v>129</v>
      </c>
      <c r="E83" s="79" t="s">
        <v>120</v>
      </c>
      <c r="F83" s="86" t="str">
        <f>WomenLeagueGames1stRound!A8</f>
        <v>WL-05</v>
      </c>
      <c r="G83" s="86" t="str">
        <f>WomenLeagueGames1stRound!B8</f>
        <v>1st Round</v>
      </c>
      <c r="H83" s="86" t="str">
        <f>WomenLeagueGames1stRound!C8</f>
        <v>SLIEMA WANDERERS</v>
      </c>
      <c r="I83" s="86" t="str">
        <f>WomenLeagueGames1stRound!D8</f>
        <v>MGARR</v>
      </c>
      <c r="J83" s="86">
        <f>WomenLeagueGames1stRound!E8</f>
        <v>2</v>
      </c>
      <c r="K83" s="86">
        <f>WomenLeagueGames1stRound!F8</f>
        <v>3</v>
      </c>
      <c r="L83" s="126"/>
      <c r="M83" s="126"/>
      <c r="N83" s="126"/>
      <c r="O83" s="130"/>
      <c r="P83" s="130"/>
      <c r="Q83" s="130"/>
      <c r="R83" s="130"/>
      <c r="S83" s="130"/>
      <c r="T83" s="131"/>
      <c r="U83" s="131"/>
    </row>
    <row r="84" spans="2:21" ht="7.5" customHeight="1" x14ac:dyDescent="0.2">
      <c r="B84" s="80"/>
      <c r="C84" s="81"/>
      <c r="D84" s="82"/>
      <c r="E84" s="83"/>
      <c r="F84" s="84"/>
      <c r="G84" s="84"/>
      <c r="H84" s="84"/>
      <c r="I84" s="84"/>
      <c r="J84" s="84"/>
      <c r="K84" s="84"/>
      <c r="L84" s="126"/>
      <c r="M84" s="126"/>
      <c r="N84" s="126"/>
      <c r="O84" s="130"/>
      <c r="P84" s="130"/>
      <c r="Q84" s="130"/>
      <c r="R84" s="130"/>
      <c r="S84" s="130"/>
      <c r="T84" s="131"/>
      <c r="U84" s="131"/>
    </row>
    <row r="85" spans="2:21" x14ac:dyDescent="0.2">
      <c r="B85" s="76" t="s">
        <v>124</v>
      </c>
      <c r="C85" s="77">
        <v>42302</v>
      </c>
      <c r="D85" s="85" t="s">
        <v>130</v>
      </c>
      <c r="E85" s="79" t="s">
        <v>120</v>
      </c>
      <c r="F85" s="86" t="str">
        <f>WomenLeagueGames1stRound!A9</f>
        <v>WL-06</v>
      </c>
      <c r="G85" s="86" t="str">
        <f>WomenLeagueGames1stRound!B9</f>
        <v>1st Round</v>
      </c>
      <c r="H85" s="86" t="str">
        <f>WomenLeagueGames1stRound!C9</f>
        <v>PAOLA</v>
      </c>
      <c r="I85" s="86" t="str">
        <f>WomenLeagueGames1stRound!D9</f>
        <v>PLAYVOLLEY GENERAL MEMBRANE</v>
      </c>
      <c r="J85" s="86">
        <f>WomenLeagueGames1stRound!E9</f>
        <v>3</v>
      </c>
      <c r="K85" s="86">
        <f>WomenLeagueGames1stRound!F9</f>
        <v>0</v>
      </c>
      <c r="L85" s="126"/>
      <c r="M85" s="126"/>
      <c r="N85" s="126"/>
      <c r="O85" s="130"/>
      <c r="P85" s="130"/>
      <c r="Q85" s="130"/>
      <c r="R85" s="130"/>
      <c r="S85" s="130"/>
      <c r="T85" s="131"/>
      <c r="U85" s="131"/>
    </row>
    <row r="86" spans="2:21" ht="7.5" customHeight="1" x14ac:dyDescent="0.2">
      <c r="B86" s="80"/>
      <c r="C86" s="81"/>
      <c r="D86" s="82"/>
      <c r="E86" s="83"/>
      <c r="F86" s="84"/>
      <c r="G86" s="84"/>
      <c r="H86" s="84"/>
      <c r="I86" s="84"/>
      <c r="J86" s="84"/>
      <c r="K86" s="84"/>
      <c r="L86" s="126"/>
      <c r="M86" s="126"/>
      <c r="N86" s="126"/>
      <c r="O86" s="130"/>
      <c r="P86" s="130"/>
      <c r="Q86" s="130"/>
      <c r="R86" s="130"/>
      <c r="S86" s="130"/>
      <c r="T86" s="131"/>
      <c r="U86" s="131"/>
    </row>
    <row r="87" spans="2:21" ht="15.75" x14ac:dyDescent="0.25">
      <c r="B87" s="133" t="s">
        <v>124</v>
      </c>
      <c r="C87" s="134">
        <v>42302</v>
      </c>
      <c r="D87" s="135" t="s">
        <v>133</v>
      </c>
      <c r="E87" s="136" t="s">
        <v>120</v>
      </c>
      <c r="F87" s="137" t="str">
        <f>MenLeagueGames!A5</f>
        <v>ML-02</v>
      </c>
      <c r="G87" s="137" t="str">
        <f>MenLeagueGames!B5</f>
        <v>1st Round</v>
      </c>
      <c r="H87" s="137" t="str">
        <f>MenLeagueGames!C5</f>
        <v>VALLETTA MAPEI</v>
      </c>
      <c r="I87" s="137" t="str">
        <f>MenLeagueGames!D5</f>
        <v>MGARR</v>
      </c>
      <c r="J87" s="137">
        <f>MenLeagueGames!E5</f>
        <v>3</v>
      </c>
      <c r="K87" s="137">
        <f>MenLeagueGames!F5</f>
        <v>0</v>
      </c>
      <c r="L87" s="132" t="s">
        <v>139</v>
      </c>
    </row>
    <row r="88" spans="2:21" ht="7.5" customHeight="1" x14ac:dyDescent="0.2"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6"/>
      <c r="M88" s="126"/>
      <c r="N88" s="126"/>
      <c r="O88" s="130"/>
      <c r="P88" s="130"/>
      <c r="Q88" s="130"/>
      <c r="R88" s="130"/>
      <c r="S88" s="130"/>
      <c r="T88" s="131"/>
      <c r="U88" s="131"/>
    </row>
    <row r="90" spans="2:21" ht="15.75" x14ac:dyDescent="0.25">
      <c r="B90" s="111" t="s">
        <v>121</v>
      </c>
      <c r="C90" s="112">
        <v>42308</v>
      </c>
      <c r="D90" s="113" t="s">
        <v>141</v>
      </c>
      <c r="E90" s="114" t="s">
        <v>120</v>
      </c>
      <c r="F90" s="115" t="str">
        <f>WomenUnder18!A4</f>
        <v>WU18L-01</v>
      </c>
      <c r="G90" s="115" t="str">
        <f>WomenUnder18!B4</f>
        <v>1st Round</v>
      </c>
      <c r="H90" s="115" t="str">
        <f>WomenUnder18!C4</f>
        <v>SWIEQI PHOENIX</v>
      </c>
      <c r="I90" s="115" t="str">
        <f>WomenUnder18!D4</f>
        <v>BALZAN FLYERS CROSSCRAFT</v>
      </c>
      <c r="J90" s="115">
        <f>WomenUnder18!E4</f>
        <v>3</v>
      </c>
      <c r="K90" s="115">
        <f>WomenUnder18!F4</f>
        <v>0</v>
      </c>
      <c r="L90" s="132"/>
      <c r="M90" s="126"/>
      <c r="N90" s="126"/>
      <c r="O90" s="130"/>
      <c r="P90" s="130"/>
      <c r="Q90" s="130"/>
      <c r="R90" s="130"/>
      <c r="S90" s="130"/>
      <c r="T90" s="131"/>
      <c r="U90" s="131"/>
    </row>
    <row r="91" spans="2:21" ht="7.5" customHeight="1" x14ac:dyDescent="0.2">
      <c r="B91" s="116"/>
      <c r="C91" s="117"/>
      <c r="D91" s="118"/>
      <c r="E91" s="119"/>
      <c r="F91" s="120"/>
      <c r="G91" s="120"/>
      <c r="H91" s="120"/>
      <c r="I91" s="120"/>
      <c r="J91" s="120"/>
      <c r="K91" s="120"/>
      <c r="L91" s="126"/>
      <c r="M91" s="126"/>
      <c r="N91" s="126"/>
      <c r="O91" s="130"/>
      <c r="P91" s="130"/>
      <c r="Q91" s="130"/>
      <c r="R91" s="130"/>
      <c r="S91" s="130"/>
      <c r="T91" s="131"/>
      <c r="U91" s="131"/>
    </row>
    <row r="92" spans="2:21" x14ac:dyDescent="0.2">
      <c r="B92" s="76" t="s">
        <v>121</v>
      </c>
      <c r="C92" s="77">
        <v>42308</v>
      </c>
      <c r="D92" s="78" t="s">
        <v>137</v>
      </c>
      <c r="E92" s="79" t="s">
        <v>120</v>
      </c>
      <c r="F92" s="86" t="str">
        <f>WomenLeagueGames1stRound!A5</f>
        <v>WL-02</v>
      </c>
      <c r="G92" s="86" t="str">
        <f>WomenLeagueGames1stRound!B5</f>
        <v>1st Round</v>
      </c>
      <c r="H92" s="86" t="str">
        <f>WomenLeagueGames1stRound!C5</f>
        <v>BALZAN FLYERS</v>
      </c>
      <c r="I92" s="86" t="str">
        <f>WomenLeagueGames1stRound!D5</f>
        <v>PAOLA</v>
      </c>
      <c r="J92" s="86">
        <f>WomenLeagueGames1stRound!E5</f>
        <v>3</v>
      </c>
      <c r="K92" s="86">
        <f>WomenLeagueGames1stRound!F5</f>
        <v>0</v>
      </c>
      <c r="L92" s="126"/>
      <c r="M92" s="126"/>
      <c r="N92" s="126"/>
      <c r="O92" s="130"/>
      <c r="P92" s="130"/>
      <c r="Q92" s="130"/>
      <c r="R92" s="130"/>
      <c r="S92" s="130"/>
      <c r="T92" s="131"/>
      <c r="U92" s="131"/>
    </row>
    <row r="93" spans="2:21" ht="7.5" customHeight="1" x14ac:dyDescent="0.2">
      <c r="B93" s="80"/>
      <c r="C93" s="81"/>
      <c r="D93" s="82"/>
      <c r="E93" s="83"/>
      <c r="F93" s="84"/>
      <c r="G93" s="84"/>
      <c r="H93" s="84"/>
      <c r="I93" s="84"/>
      <c r="J93" s="84"/>
      <c r="K93" s="84"/>
      <c r="L93" s="126"/>
      <c r="M93" s="126"/>
      <c r="N93" s="126"/>
      <c r="O93" s="130"/>
      <c r="P93" s="130"/>
      <c r="Q93" s="130"/>
      <c r="R93" s="130"/>
      <c r="S93" s="130"/>
      <c r="T93" s="131"/>
      <c r="U93" s="131"/>
    </row>
    <row r="94" spans="2:21" ht="15.75" x14ac:dyDescent="0.25">
      <c r="B94" s="76" t="s">
        <v>121</v>
      </c>
      <c r="C94" s="77">
        <v>42308</v>
      </c>
      <c r="D94" s="85" t="s">
        <v>138</v>
      </c>
      <c r="E94" s="79" t="s">
        <v>120</v>
      </c>
      <c r="F94" s="86" t="str">
        <f>MenLeagueGames!A4</f>
        <v>ML-01</v>
      </c>
      <c r="G94" s="86" t="str">
        <f>MenLeagueGames!B4</f>
        <v>1st Round</v>
      </c>
      <c r="H94" s="86" t="str">
        <f>MenLeagueGames!C4</f>
        <v>FLEUR DE LYS TWISTEES</v>
      </c>
      <c r="I94" s="86" t="str">
        <f>MenLeagueGames!D4</f>
        <v>ALOYSIANS</v>
      </c>
      <c r="J94" s="86">
        <f>MenLeagueGames!E4</f>
        <v>2</v>
      </c>
      <c r="K94" s="86">
        <f>MenLeagueGames!F4</f>
        <v>3</v>
      </c>
      <c r="L94" s="132" t="s">
        <v>139</v>
      </c>
    </row>
    <row r="95" spans="2:21" ht="7.5" customHeight="1" x14ac:dyDescent="0.2">
      <c r="B95" s="80"/>
      <c r="C95" s="81"/>
      <c r="D95" s="82"/>
      <c r="E95" s="83"/>
      <c r="F95" s="84"/>
      <c r="G95" s="84"/>
      <c r="H95" s="84"/>
      <c r="I95" s="84"/>
      <c r="J95" s="84"/>
      <c r="K95" s="84"/>
      <c r="L95" s="126"/>
      <c r="M95" s="126"/>
      <c r="N95" s="126"/>
      <c r="O95" s="130"/>
      <c r="P95" s="130"/>
      <c r="Q95" s="130"/>
      <c r="R95" s="130"/>
      <c r="S95" s="130"/>
      <c r="T95" s="131"/>
      <c r="U95" s="131"/>
    </row>
    <row r="97" spans="1:21" s="127" customFormat="1" ht="26.25" x14ac:dyDescent="0.4">
      <c r="A97" s="242" t="s">
        <v>142</v>
      </c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126"/>
      <c r="M97" s="126"/>
      <c r="N97" s="126"/>
      <c r="O97" s="130"/>
      <c r="P97" s="130"/>
      <c r="Q97" s="130"/>
      <c r="R97" s="130"/>
      <c r="S97" s="130"/>
      <c r="T97" s="130"/>
      <c r="U97" s="130"/>
    </row>
    <row r="99" spans="1:21" x14ac:dyDescent="0.2">
      <c r="B99" s="76" t="s">
        <v>124</v>
      </c>
      <c r="C99" s="77">
        <v>42309</v>
      </c>
      <c r="D99" s="85" t="s">
        <v>129</v>
      </c>
      <c r="E99" s="79" t="s">
        <v>120</v>
      </c>
      <c r="F99" s="86" t="str">
        <f>WomenLeagueGames1stRound!A10</f>
        <v>WL-07</v>
      </c>
      <c r="G99" s="86" t="str">
        <f>WomenLeagueGames1stRound!B10</f>
        <v>1st Round</v>
      </c>
      <c r="H99" s="86" t="str">
        <f>WomenLeagueGames1stRound!C10</f>
        <v>FLEUR DE LYS TWISTEES</v>
      </c>
      <c r="I99" s="86" t="str">
        <f>WomenLeagueGames1stRound!D10</f>
        <v>MELLIEHA TRITONES</v>
      </c>
      <c r="J99" s="86">
        <f>WomenLeagueGames1stRound!E10</f>
        <v>3</v>
      </c>
      <c r="K99" s="86">
        <f>WomenLeagueGames1stRound!F10</f>
        <v>0</v>
      </c>
      <c r="L99" s="126"/>
      <c r="M99" s="126"/>
      <c r="N99" s="126"/>
      <c r="O99" s="130"/>
      <c r="P99" s="130"/>
      <c r="Q99" s="130"/>
      <c r="R99" s="130"/>
      <c r="S99" s="130"/>
      <c r="T99" s="131"/>
      <c r="U99" s="131"/>
    </row>
    <row r="100" spans="1:21" ht="7.5" customHeight="1" x14ac:dyDescent="0.2">
      <c r="B100" s="80"/>
      <c r="C100" s="81"/>
      <c r="D100" s="82"/>
      <c r="E100" s="83"/>
      <c r="F100" s="84"/>
      <c r="G100" s="84"/>
      <c r="H100" s="84"/>
      <c r="I100" s="84"/>
      <c r="J100" s="84"/>
      <c r="K100" s="84"/>
      <c r="L100" s="126"/>
      <c r="M100" s="126"/>
      <c r="N100" s="126"/>
      <c r="O100" s="130"/>
      <c r="P100" s="130"/>
      <c r="Q100" s="130"/>
      <c r="R100" s="130"/>
      <c r="S100" s="130"/>
      <c r="T100" s="131"/>
      <c r="U100" s="131"/>
    </row>
    <row r="101" spans="1:21" x14ac:dyDescent="0.2">
      <c r="B101" s="76" t="s">
        <v>124</v>
      </c>
      <c r="C101" s="77">
        <v>42309</v>
      </c>
      <c r="D101" s="85" t="s">
        <v>130</v>
      </c>
      <c r="E101" s="79" t="s">
        <v>120</v>
      </c>
      <c r="F101" s="86" t="str">
        <f>WomenLeagueGames1stRound!A12</f>
        <v>WL-09</v>
      </c>
      <c r="G101" s="86" t="str">
        <f>WomenLeagueGames1stRound!B12</f>
        <v>1st Round</v>
      </c>
      <c r="H101" s="86" t="str">
        <f>WomenLeagueGames1stRound!C12</f>
        <v>MGARR</v>
      </c>
      <c r="I101" s="86" t="str">
        <f>WomenLeagueGames1stRound!D12</f>
        <v>SWIEQI PHOENIX</v>
      </c>
      <c r="J101" s="86">
        <f>WomenLeagueGames1stRound!E12</f>
        <v>1</v>
      </c>
      <c r="K101" s="86">
        <f>WomenLeagueGames1stRound!F12</f>
        <v>3</v>
      </c>
      <c r="L101" s="126"/>
      <c r="M101" s="126"/>
      <c r="N101" s="126"/>
      <c r="O101" s="130"/>
      <c r="P101" s="130"/>
      <c r="Q101" s="130"/>
      <c r="R101" s="130"/>
      <c r="S101" s="130"/>
      <c r="T101" s="131"/>
      <c r="U101" s="131"/>
    </row>
    <row r="102" spans="1:21" ht="7.5" customHeight="1" x14ac:dyDescent="0.2">
      <c r="B102" s="80"/>
      <c r="C102" s="81"/>
      <c r="D102" s="82"/>
      <c r="E102" s="83"/>
      <c r="F102" s="84"/>
      <c r="G102" s="84"/>
      <c r="H102" s="84"/>
      <c r="I102" s="84"/>
      <c r="J102" s="84"/>
      <c r="K102" s="84"/>
      <c r="L102" s="126"/>
      <c r="M102" s="126"/>
      <c r="N102" s="126"/>
      <c r="O102" s="130"/>
      <c r="P102" s="130"/>
      <c r="Q102" s="130"/>
      <c r="R102" s="130"/>
      <c r="S102" s="130"/>
      <c r="T102" s="131"/>
      <c r="U102" s="131"/>
    </row>
    <row r="103" spans="1:21" x14ac:dyDescent="0.2">
      <c r="B103" s="76" t="s">
        <v>124</v>
      </c>
      <c r="C103" s="77">
        <v>42309</v>
      </c>
      <c r="D103" s="85" t="s">
        <v>133</v>
      </c>
      <c r="E103" s="79" t="s">
        <v>120</v>
      </c>
      <c r="F103" s="86" t="str">
        <f>WomenLeagueGames1stRound!A13</f>
        <v>WL-10</v>
      </c>
      <c r="G103" s="86" t="str">
        <f>WomenLeagueGames1stRound!B13</f>
        <v>1st Round</v>
      </c>
      <c r="H103" s="86" t="str">
        <f>WomenLeagueGames1stRound!C13</f>
        <v>SLIEMA WANDERERS</v>
      </c>
      <c r="I103" s="86" t="str">
        <f>WomenLeagueGames1stRound!D13</f>
        <v>BALZAN FLYERS 2</v>
      </c>
      <c r="J103" s="86">
        <f>WomenLeagueGames1stRound!E13</f>
        <v>0</v>
      </c>
      <c r="K103" s="86">
        <f>WomenLeagueGames1stRound!F13</f>
        <v>3</v>
      </c>
    </row>
    <row r="104" spans="1:21" ht="7.5" customHeight="1" x14ac:dyDescent="0.2">
      <c r="B104" s="80"/>
      <c r="C104" s="81"/>
      <c r="D104" s="82"/>
      <c r="E104" s="83"/>
      <c r="F104" s="84"/>
      <c r="G104" s="84"/>
      <c r="H104" s="84"/>
      <c r="I104" s="84"/>
      <c r="J104" s="84"/>
      <c r="K104" s="84"/>
      <c r="L104" s="126"/>
      <c r="M104" s="126"/>
      <c r="N104" s="126"/>
      <c r="O104" s="130"/>
      <c r="P104" s="130"/>
      <c r="Q104" s="130"/>
      <c r="R104" s="130"/>
      <c r="S104" s="130"/>
      <c r="T104" s="131"/>
      <c r="U104" s="131"/>
    </row>
    <row r="106" spans="1:21" x14ac:dyDescent="0.2">
      <c r="B106" s="111" t="s">
        <v>121</v>
      </c>
      <c r="C106" s="112">
        <v>42315</v>
      </c>
      <c r="D106" s="113" t="s">
        <v>141</v>
      </c>
      <c r="E106" s="114" t="s">
        <v>120</v>
      </c>
      <c r="F106" s="115" t="str">
        <f>WomenUnder18!A5</f>
        <v>WU18L-02</v>
      </c>
      <c r="G106" s="115" t="str">
        <f>WomenUnder18!B5</f>
        <v>1st Round</v>
      </c>
      <c r="H106" s="115" t="str">
        <f>WomenUnder18!C5</f>
        <v>BALZAN FLYERS CROSSCRAFT</v>
      </c>
      <c r="I106" s="115" t="str">
        <f>WomenUnder18!D5</f>
        <v>FLEUR DE LYS TWISTEES</v>
      </c>
      <c r="J106" s="115">
        <f>WomenUnder18!E5</f>
        <v>0</v>
      </c>
      <c r="K106" s="115">
        <f>WomenUnder18!F5</f>
        <v>3</v>
      </c>
      <c r="L106" s="126"/>
      <c r="M106" s="126"/>
      <c r="N106" s="126"/>
      <c r="O106" s="130"/>
      <c r="P106" s="130"/>
      <c r="Q106" s="130"/>
      <c r="R106" s="130"/>
      <c r="S106" s="130"/>
      <c r="T106" s="131"/>
      <c r="U106" s="131"/>
    </row>
    <row r="107" spans="1:21" ht="7.5" customHeight="1" x14ac:dyDescent="0.2">
      <c r="B107" s="116"/>
      <c r="C107" s="117"/>
      <c r="D107" s="118"/>
      <c r="E107" s="119"/>
      <c r="F107" s="120"/>
      <c r="G107" s="120"/>
      <c r="H107" s="120"/>
      <c r="I107" s="120"/>
      <c r="J107" s="120"/>
      <c r="K107" s="120"/>
      <c r="L107" s="126"/>
      <c r="M107" s="126"/>
      <c r="N107" s="126"/>
      <c r="O107" s="130"/>
      <c r="P107" s="130"/>
      <c r="Q107" s="130"/>
      <c r="R107" s="130"/>
      <c r="S107" s="130"/>
      <c r="T107" s="131"/>
      <c r="U107" s="131"/>
    </row>
    <row r="108" spans="1:21" x14ac:dyDescent="0.2">
      <c r="B108" s="76" t="s">
        <v>121</v>
      </c>
      <c r="C108" s="77">
        <v>42315</v>
      </c>
      <c r="D108" s="78" t="s">
        <v>137</v>
      </c>
      <c r="E108" s="79" t="s">
        <v>120</v>
      </c>
      <c r="F108" s="86" t="str">
        <f>WomenLeagueGames1stRound!A14</f>
        <v>WL-11</v>
      </c>
      <c r="G108" s="86" t="str">
        <f>WomenLeagueGames1stRound!B14</f>
        <v>1st Round</v>
      </c>
      <c r="H108" s="86" t="str">
        <f>WomenLeagueGames1stRound!C14</f>
        <v>PLAYVOLLEY GENERAL MEMBRANE</v>
      </c>
      <c r="I108" s="86" t="str">
        <f>WomenLeagueGames1stRound!D14</f>
        <v>FLEUR DE LYS TWISTEES</v>
      </c>
      <c r="J108" s="86">
        <f>WomenLeagueGames1stRound!E14</f>
        <v>0</v>
      </c>
      <c r="K108" s="86">
        <f>WomenLeagueGames1stRound!F14</f>
        <v>3</v>
      </c>
      <c r="L108" s="126"/>
      <c r="M108" s="126"/>
      <c r="N108" s="126"/>
      <c r="O108" s="130"/>
      <c r="P108" s="130"/>
      <c r="Q108" s="130"/>
      <c r="R108" s="130"/>
      <c r="S108" s="130"/>
      <c r="T108" s="131"/>
      <c r="U108" s="131"/>
    </row>
    <row r="109" spans="1:21" ht="7.5" customHeight="1" x14ac:dyDescent="0.2">
      <c r="B109" s="80"/>
      <c r="C109" s="81"/>
      <c r="D109" s="82"/>
      <c r="E109" s="83"/>
      <c r="F109" s="84"/>
      <c r="G109" s="84"/>
      <c r="H109" s="84"/>
      <c r="I109" s="84"/>
      <c r="J109" s="84"/>
      <c r="K109" s="84"/>
      <c r="L109" s="126"/>
      <c r="M109" s="126"/>
      <c r="N109" s="126"/>
      <c r="O109" s="130"/>
      <c r="P109" s="130"/>
      <c r="Q109" s="130"/>
      <c r="R109" s="130"/>
      <c r="S109" s="130"/>
      <c r="T109" s="131"/>
      <c r="U109" s="131"/>
    </row>
    <row r="110" spans="1:21" x14ac:dyDescent="0.2">
      <c r="B110" s="76" t="s">
        <v>121</v>
      </c>
      <c r="C110" s="77">
        <v>42315</v>
      </c>
      <c r="D110" s="85" t="s">
        <v>138</v>
      </c>
      <c r="E110" s="79" t="s">
        <v>120</v>
      </c>
      <c r="F110" s="86" t="str">
        <f>WomenLeagueGames1stRound!A15</f>
        <v>WL-12</v>
      </c>
      <c r="G110" s="86" t="str">
        <f>WomenLeagueGames1stRound!B15</f>
        <v>1st Round</v>
      </c>
      <c r="H110" s="86" t="str">
        <f>WomenLeagueGames1stRound!C15</f>
        <v>PAOLA</v>
      </c>
      <c r="I110" s="86" t="str">
        <f>WomenLeagueGames1stRound!D15</f>
        <v>BIRKIRKARA</v>
      </c>
      <c r="J110" s="86">
        <f>WomenLeagueGames1stRound!E15</f>
        <v>3</v>
      </c>
      <c r="K110" s="86">
        <f>WomenLeagueGames1stRound!F15</f>
        <v>0</v>
      </c>
    </row>
    <row r="111" spans="1:21" ht="7.5" customHeight="1" x14ac:dyDescent="0.2">
      <c r="B111" s="80"/>
      <c r="C111" s="81"/>
      <c r="D111" s="82"/>
      <c r="E111" s="83"/>
      <c r="F111" s="84"/>
      <c r="G111" s="84"/>
      <c r="H111" s="84"/>
      <c r="I111" s="84"/>
      <c r="J111" s="84"/>
      <c r="K111" s="84"/>
      <c r="L111" s="126"/>
      <c r="M111" s="126"/>
      <c r="N111" s="126"/>
      <c r="O111" s="130"/>
      <c r="P111" s="130"/>
      <c r="Q111" s="130"/>
      <c r="R111" s="130"/>
      <c r="S111" s="130"/>
      <c r="T111" s="131"/>
      <c r="U111" s="131"/>
    </row>
    <row r="113" spans="2:21" x14ac:dyDescent="0.2">
      <c r="B113" s="76" t="s">
        <v>124</v>
      </c>
      <c r="C113" s="77">
        <v>42316</v>
      </c>
      <c r="D113" s="85" t="s">
        <v>129</v>
      </c>
      <c r="E113" s="79" t="s">
        <v>120</v>
      </c>
      <c r="F113" s="86" t="str">
        <f>MenLeagueGames!A6</f>
        <v>ML-03</v>
      </c>
      <c r="G113" s="86" t="str">
        <f>MenLeagueGames!B6</f>
        <v>1st Round</v>
      </c>
      <c r="H113" s="86" t="str">
        <f>MenLeagueGames!C6</f>
        <v>MGARR</v>
      </c>
      <c r="I113" s="86" t="str">
        <f>MenLeagueGames!D6</f>
        <v>FLEUR DE LYS TWISTEES</v>
      </c>
      <c r="J113" s="86">
        <f>MenLeagueGames!E6</f>
        <v>0</v>
      </c>
      <c r="K113" s="86">
        <f>MenLeagueGames!F6</f>
        <v>3</v>
      </c>
      <c r="L113" s="126"/>
      <c r="M113" s="126"/>
      <c r="N113" s="126"/>
      <c r="O113" s="130"/>
      <c r="P113" s="130"/>
      <c r="Q113" s="130"/>
      <c r="R113" s="130"/>
      <c r="S113" s="130"/>
      <c r="T113" s="131"/>
      <c r="U113" s="131"/>
    </row>
    <row r="114" spans="2:21" ht="7.5" customHeight="1" x14ac:dyDescent="0.2">
      <c r="B114" s="80"/>
      <c r="C114" s="81"/>
      <c r="D114" s="82"/>
      <c r="E114" s="83"/>
      <c r="F114" s="84"/>
      <c r="G114" s="84"/>
      <c r="H114" s="84"/>
      <c r="I114" s="84"/>
      <c r="J114" s="84"/>
      <c r="K114" s="84"/>
      <c r="L114" s="126"/>
      <c r="M114" s="126"/>
      <c r="N114" s="126"/>
      <c r="O114" s="130"/>
      <c r="P114" s="130"/>
      <c r="Q114" s="130"/>
      <c r="R114" s="130"/>
      <c r="S114" s="130"/>
      <c r="T114" s="131"/>
      <c r="U114" s="131"/>
    </row>
    <row r="115" spans="2:21" x14ac:dyDescent="0.2">
      <c r="B115" s="76" t="s">
        <v>124</v>
      </c>
      <c r="C115" s="77">
        <v>42316</v>
      </c>
      <c r="D115" s="85" t="s">
        <v>130</v>
      </c>
      <c r="E115" s="79" t="s">
        <v>120</v>
      </c>
      <c r="F115" s="86" t="str">
        <f>WomenLeagueGames1stRound!A16</f>
        <v>WL-13</v>
      </c>
      <c r="G115" s="86" t="str">
        <f>WomenLeagueGames1stRound!B16</f>
        <v>1st Round</v>
      </c>
      <c r="H115" s="86" t="str">
        <f>WomenLeagueGames1stRound!C16</f>
        <v>MELLIEHA TRITONES</v>
      </c>
      <c r="I115" s="86" t="str">
        <f>WomenLeagueGames1stRound!D16</f>
        <v>MGARR</v>
      </c>
      <c r="J115" s="86">
        <f>WomenLeagueGames1stRound!E16</f>
        <v>3</v>
      </c>
      <c r="K115" s="86">
        <f>WomenLeagueGames1stRound!F16</f>
        <v>0</v>
      </c>
      <c r="L115" s="126"/>
      <c r="M115" s="126"/>
      <c r="N115" s="126"/>
      <c r="O115" s="130"/>
      <c r="P115" s="130"/>
      <c r="Q115" s="130"/>
      <c r="R115" s="130"/>
      <c r="S115" s="130"/>
      <c r="T115" s="131"/>
      <c r="U115" s="131"/>
    </row>
    <row r="116" spans="2:21" ht="7.5" customHeight="1" x14ac:dyDescent="0.2">
      <c r="B116" s="80"/>
      <c r="C116" s="81"/>
      <c r="D116" s="82"/>
      <c r="E116" s="83"/>
      <c r="F116" s="84"/>
      <c r="G116" s="84"/>
      <c r="H116" s="84"/>
      <c r="I116" s="84"/>
      <c r="J116" s="84"/>
      <c r="K116" s="84"/>
      <c r="L116" s="126"/>
      <c r="M116" s="126"/>
      <c r="N116" s="126"/>
      <c r="O116" s="130"/>
      <c r="P116" s="130"/>
      <c r="Q116" s="130"/>
      <c r="R116" s="130"/>
      <c r="S116" s="130"/>
      <c r="T116" s="131"/>
      <c r="U116" s="131"/>
    </row>
    <row r="117" spans="2:21" x14ac:dyDescent="0.2">
      <c r="B117" s="76" t="s">
        <v>124</v>
      </c>
      <c r="C117" s="77">
        <v>42316</v>
      </c>
      <c r="D117" s="85" t="s">
        <v>133</v>
      </c>
      <c r="E117" s="79" t="s">
        <v>120</v>
      </c>
      <c r="F117" s="86" t="str">
        <f>WomenLeagueGames1stRound!A18</f>
        <v>WL-15</v>
      </c>
      <c r="G117" s="86" t="str">
        <f>WomenLeagueGames1stRound!B18</f>
        <v>1st Round</v>
      </c>
      <c r="H117" s="86" t="str">
        <f>WomenLeagueGames1stRound!C18</f>
        <v>SWIEQI PHOENIX</v>
      </c>
      <c r="I117" s="86" t="str">
        <f>WomenLeagueGames1stRound!D18</f>
        <v>BALZAN FLYERS 2</v>
      </c>
      <c r="J117" s="86">
        <f>WomenLeagueGames1stRound!E18</f>
        <v>1</v>
      </c>
      <c r="K117" s="86">
        <f>WomenLeagueGames1stRound!F18</f>
        <v>3</v>
      </c>
    </row>
    <row r="118" spans="2:21" ht="7.5" customHeight="1" x14ac:dyDescent="0.2">
      <c r="B118" s="80"/>
      <c r="C118" s="81"/>
      <c r="D118" s="82"/>
      <c r="E118" s="83"/>
      <c r="F118" s="84"/>
      <c r="G118" s="84"/>
      <c r="H118" s="84"/>
      <c r="I118" s="84"/>
      <c r="J118" s="84"/>
      <c r="K118" s="84"/>
      <c r="L118" s="126"/>
      <c r="M118" s="126"/>
      <c r="N118" s="126"/>
      <c r="O118" s="130"/>
      <c r="P118" s="130"/>
      <c r="Q118" s="130"/>
      <c r="R118" s="130"/>
      <c r="S118" s="130"/>
      <c r="T118" s="131"/>
      <c r="U118" s="131"/>
    </row>
    <row r="120" spans="2:21" x14ac:dyDescent="0.2">
      <c r="B120" s="111" t="s">
        <v>121</v>
      </c>
      <c r="C120" s="112">
        <v>42322</v>
      </c>
      <c r="D120" s="113" t="s">
        <v>141</v>
      </c>
      <c r="E120" s="114" t="s">
        <v>120</v>
      </c>
      <c r="F120" s="115" t="str">
        <f>WomenUnder18!A6</f>
        <v>WU18L-03</v>
      </c>
      <c r="G120" s="115" t="str">
        <f>WomenUnder18!B6</f>
        <v>1st Round</v>
      </c>
      <c r="H120" s="115" t="str">
        <f>WomenUnder18!C6</f>
        <v>FLEUR DE LYS TWISTEES</v>
      </c>
      <c r="I120" s="115" t="str">
        <f>WomenUnder18!D6</f>
        <v>SWIEQI PHOENIX</v>
      </c>
      <c r="J120" s="115">
        <f>WomenUnder18!E6</f>
        <v>2</v>
      </c>
      <c r="K120" s="115">
        <f>WomenUnder18!F6</f>
        <v>3</v>
      </c>
      <c r="L120" s="126"/>
      <c r="M120" s="126"/>
      <c r="N120" s="126"/>
      <c r="O120" s="130"/>
      <c r="P120" s="130"/>
      <c r="Q120" s="130"/>
      <c r="R120" s="130"/>
      <c r="S120" s="130"/>
      <c r="T120" s="131"/>
      <c r="U120" s="131"/>
    </row>
    <row r="121" spans="2:21" ht="7.5" customHeight="1" x14ac:dyDescent="0.2">
      <c r="B121" s="116"/>
      <c r="C121" s="117"/>
      <c r="D121" s="118"/>
      <c r="E121" s="119"/>
      <c r="F121" s="120"/>
      <c r="G121" s="120"/>
      <c r="H121" s="120"/>
      <c r="I121" s="120"/>
      <c r="J121" s="120"/>
      <c r="K121" s="120"/>
      <c r="L121" s="126"/>
      <c r="M121" s="126"/>
      <c r="N121" s="126"/>
      <c r="O121" s="130"/>
      <c r="P121" s="130"/>
      <c r="Q121" s="130"/>
      <c r="R121" s="130"/>
      <c r="S121" s="130"/>
      <c r="T121" s="131"/>
      <c r="U121" s="131"/>
    </row>
    <row r="122" spans="2:21" x14ac:dyDescent="0.2">
      <c r="B122" s="76" t="s">
        <v>121</v>
      </c>
      <c r="C122" s="77">
        <v>42322</v>
      </c>
      <c r="D122" s="78" t="s">
        <v>137</v>
      </c>
      <c r="E122" s="79" t="s">
        <v>120</v>
      </c>
      <c r="F122" s="86" t="str">
        <f>MenLeagueGames!A7</f>
        <v>ML-04</v>
      </c>
      <c r="G122" s="86" t="str">
        <f>MenLeagueGames!B7</f>
        <v>1st Round</v>
      </c>
      <c r="H122" s="86" t="str">
        <f>MenLeagueGames!C7</f>
        <v>ALOYSIANS</v>
      </c>
      <c r="I122" s="86" t="str">
        <f>MenLeagueGames!D7</f>
        <v>VALLETTA MAPEI</v>
      </c>
      <c r="J122" s="86">
        <f>MenLeagueGames!E7</f>
        <v>1</v>
      </c>
      <c r="K122" s="86">
        <f>MenLeagueGames!F7</f>
        <v>3</v>
      </c>
      <c r="L122" s="126"/>
      <c r="M122" s="126"/>
      <c r="N122" s="126"/>
      <c r="O122" s="130"/>
      <c r="P122" s="130"/>
      <c r="Q122" s="130"/>
      <c r="R122" s="130"/>
      <c r="S122" s="130"/>
      <c r="T122" s="131"/>
      <c r="U122" s="131"/>
    </row>
    <row r="123" spans="2:21" ht="7.5" customHeight="1" x14ac:dyDescent="0.2">
      <c r="B123" s="80"/>
      <c r="C123" s="81"/>
      <c r="D123" s="82"/>
      <c r="E123" s="83"/>
      <c r="F123" s="84"/>
      <c r="G123" s="84"/>
      <c r="H123" s="84"/>
      <c r="I123" s="84"/>
      <c r="J123" s="84"/>
      <c r="K123" s="84"/>
      <c r="L123" s="126"/>
      <c r="M123" s="126"/>
      <c r="N123" s="126"/>
      <c r="O123" s="130"/>
      <c r="P123" s="130"/>
      <c r="Q123" s="130"/>
      <c r="R123" s="130"/>
      <c r="S123" s="130"/>
      <c r="T123" s="131"/>
      <c r="U123" s="131"/>
    </row>
    <row r="124" spans="2:21" x14ac:dyDescent="0.2">
      <c r="B124" s="76" t="s">
        <v>121</v>
      </c>
      <c r="C124" s="77">
        <v>42322</v>
      </c>
      <c r="D124" s="85" t="s">
        <v>138</v>
      </c>
      <c r="E124" s="79" t="s">
        <v>120</v>
      </c>
      <c r="F124" s="86" t="str">
        <f>WomenLeagueGames1stRound!A11</f>
        <v>WL-08</v>
      </c>
      <c r="G124" s="86" t="str">
        <f>WomenLeagueGames1stRound!B11</f>
        <v>1st Round</v>
      </c>
      <c r="H124" s="86" t="str">
        <f>WomenLeagueGames1stRound!C11</f>
        <v>BIRKIRKARA</v>
      </c>
      <c r="I124" s="86" t="str">
        <f>WomenLeagueGames1stRound!D11</f>
        <v>BALZAN FLYERS</v>
      </c>
      <c r="J124" s="86">
        <f>WomenLeagueGames1stRound!E11</f>
        <v>0</v>
      </c>
      <c r="K124" s="86">
        <f>WomenLeagueGames1stRound!F11</f>
        <v>3</v>
      </c>
    </row>
    <row r="125" spans="2:21" ht="7.5" customHeight="1" x14ac:dyDescent="0.2">
      <c r="B125" s="80"/>
      <c r="C125" s="81"/>
      <c r="D125" s="82"/>
      <c r="E125" s="83"/>
      <c r="F125" s="84"/>
      <c r="G125" s="84"/>
      <c r="H125" s="84"/>
      <c r="I125" s="84"/>
      <c r="J125" s="84"/>
      <c r="K125" s="84"/>
      <c r="L125" s="126"/>
      <c r="M125" s="126"/>
      <c r="N125" s="126"/>
      <c r="O125" s="130"/>
      <c r="P125" s="130"/>
      <c r="Q125" s="130"/>
      <c r="R125" s="130"/>
      <c r="S125" s="130"/>
      <c r="T125" s="131"/>
      <c r="U125" s="131"/>
    </row>
    <row r="127" spans="2:21" x14ac:dyDescent="0.2">
      <c r="B127" s="111" t="s">
        <v>124</v>
      </c>
      <c r="C127" s="112">
        <v>42323</v>
      </c>
      <c r="D127" s="121" t="s">
        <v>140</v>
      </c>
      <c r="E127" s="114" t="s">
        <v>120</v>
      </c>
      <c r="F127" s="115" t="str">
        <f>WomenUnder16!A6</f>
        <v>WU16L-03</v>
      </c>
      <c r="G127" s="115" t="str">
        <f>WomenUnder16!B6</f>
        <v>1st Round</v>
      </c>
      <c r="H127" s="115" t="str">
        <f>WomenUnder16!C6</f>
        <v>FLEUR DE LYS TWISTEES</v>
      </c>
      <c r="I127" s="115" t="str">
        <f>WomenUnder16!D6</f>
        <v>PAOLA</v>
      </c>
      <c r="J127" s="115">
        <f>WomenUnder16!E6</f>
        <v>3</v>
      </c>
      <c r="K127" s="115">
        <f>WomenUnder16!F6</f>
        <v>0</v>
      </c>
      <c r="L127" s="126"/>
      <c r="M127" s="126"/>
      <c r="N127" s="126"/>
      <c r="O127" s="130"/>
      <c r="P127" s="130"/>
      <c r="Q127" s="130"/>
      <c r="R127" s="130"/>
      <c r="S127" s="130"/>
      <c r="T127" s="131"/>
      <c r="U127" s="131"/>
    </row>
    <row r="128" spans="2:21" ht="7.5" customHeight="1" x14ac:dyDescent="0.2">
      <c r="B128" s="116"/>
      <c r="C128" s="117"/>
      <c r="D128" s="118"/>
      <c r="E128" s="119"/>
      <c r="F128" s="120"/>
      <c r="G128" s="120"/>
      <c r="H128" s="120"/>
      <c r="I128" s="120"/>
      <c r="J128" s="120"/>
      <c r="K128" s="120"/>
      <c r="L128" s="126"/>
      <c r="M128" s="126"/>
      <c r="N128" s="126"/>
      <c r="O128" s="130"/>
      <c r="P128" s="130"/>
      <c r="Q128" s="130"/>
      <c r="R128" s="130"/>
      <c r="S128" s="130"/>
      <c r="T128" s="131"/>
      <c r="U128" s="131"/>
    </row>
    <row r="129" spans="2:21" x14ac:dyDescent="0.2">
      <c r="B129" s="111" t="s">
        <v>124</v>
      </c>
      <c r="C129" s="112">
        <v>42323</v>
      </c>
      <c r="D129" s="121" t="s">
        <v>140</v>
      </c>
      <c r="E129" s="114" t="s">
        <v>120</v>
      </c>
      <c r="F129" s="115" t="str">
        <f>WomenUnder16!A7</f>
        <v>WU16L-04</v>
      </c>
      <c r="G129" s="115" t="str">
        <f>WomenUnder16!B7</f>
        <v>1st Round</v>
      </c>
      <c r="H129" s="115" t="str">
        <f>WomenUnder16!C7</f>
        <v>BALZAN FLYERS CROSSCRAFT</v>
      </c>
      <c r="I129" s="115" t="str">
        <f>WomenUnder16!D7</f>
        <v>SWIEQI PHOENIX</v>
      </c>
      <c r="J129" s="115">
        <f>WomenUnder16!E7</f>
        <v>0</v>
      </c>
      <c r="K129" s="115">
        <f>WomenUnder16!F7</f>
        <v>3</v>
      </c>
      <c r="L129" s="126"/>
      <c r="M129" s="126"/>
      <c r="N129" s="126"/>
      <c r="O129" s="130"/>
      <c r="P129" s="130"/>
      <c r="Q129" s="130"/>
      <c r="R129" s="130"/>
      <c r="S129" s="130"/>
      <c r="T129" s="131"/>
      <c r="U129" s="131"/>
    </row>
    <row r="130" spans="2:21" ht="7.5" customHeight="1" x14ac:dyDescent="0.2">
      <c r="B130" s="116"/>
      <c r="C130" s="117"/>
      <c r="D130" s="118"/>
      <c r="E130" s="119"/>
      <c r="F130" s="120"/>
      <c r="G130" s="120"/>
      <c r="H130" s="120"/>
      <c r="I130" s="120"/>
      <c r="J130" s="120"/>
      <c r="K130" s="120"/>
      <c r="L130" s="126"/>
      <c r="M130" s="126"/>
      <c r="N130" s="126"/>
      <c r="O130" s="130"/>
      <c r="P130" s="130"/>
      <c r="Q130" s="130"/>
      <c r="R130" s="130"/>
      <c r="S130" s="130"/>
      <c r="T130" s="131"/>
      <c r="U130" s="131"/>
    </row>
    <row r="131" spans="2:21" x14ac:dyDescent="0.2">
      <c r="B131" s="76" t="s">
        <v>124</v>
      </c>
      <c r="C131" s="77">
        <v>42323</v>
      </c>
      <c r="D131" s="85" t="s">
        <v>129</v>
      </c>
      <c r="E131" s="79" t="s">
        <v>120</v>
      </c>
      <c r="F131" s="86" t="str">
        <f>WomenLeagueGames1stRound!A20</f>
        <v>WL-17</v>
      </c>
      <c r="G131" s="86" t="str">
        <f>WomenLeagueGames1stRound!B20</f>
        <v>1st Round</v>
      </c>
      <c r="H131" s="86" t="str">
        <f>WomenLeagueGames1stRound!C20</f>
        <v>MGARR</v>
      </c>
      <c r="I131" s="86" t="str">
        <f>WomenLeagueGames1stRound!D20</f>
        <v>FLEUR DE LYS TWISTEES</v>
      </c>
      <c r="J131" s="86">
        <f>WomenLeagueGames1stRound!E20</f>
        <v>0</v>
      </c>
      <c r="K131" s="86">
        <f>WomenLeagueGames1stRound!F20</f>
        <v>3</v>
      </c>
      <c r="L131" s="126"/>
      <c r="M131" s="126"/>
      <c r="N131" s="126"/>
      <c r="O131" s="130"/>
      <c r="P131" s="130"/>
      <c r="Q131" s="130"/>
      <c r="R131" s="130"/>
      <c r="S131" s="130"/>
      <c r="T131" s="131"/>
      <c r="U131" s="131"/>
    </row>
    <row r="132" spans="2:21" ht="7.5" customHeight="1" x14ac:dyDescent="0.2">
      <c r="B132" s="80"/>
      <c r="C132" s="81"/>
      <c r="D132" s="82"/>
      <c r="E132" s="83"/>
      <c r="F132" s="84"/>
      <c r="G132" s="84"/>
      <c r="H132" s="84"/>
      <c r="I132" s="84"/>
      <c r="J132" s="84"/>
      <c r="K132" s="84"/>
      <c r="L132" s="126"/>
      <c r="M132" s="126"/>
      <c r="N132" s="126"/>
      <c r="O132" s="130"/>
      <c r="P132" s="130"/>
      <c r="Q132" s="130"/>
      <c r="R132" s="130"/>
      <c r="S132" s="130"/>
      <c r="T132" s="131"/>
      <c r="U132" s="131"/>
    </row>
    <row r="133" spans="2:21" ht="15.75" x14ac:dyDescent="0.25">
      <c r="B133" s="76" t="s">
        <v>124</v>
      </c>
      <c r="C133" s="77">
        <v>42323</v>
      </c>
      <c r="D133" s="85" t="s">
        <v>130</v>
      </c>
      <c r="E133" s="79" t="s">
        <v>120</v>
      </c>
      <c r="F133" s="86" t="str">
        <f>WomenLeagueGames1stRound!A21</f>
        <v>WL-18</v>
      </c>
      <c r="G133" s="86" t="str">
        <f>WomenLeagueGames1stRound!B21</f>
        <v>1st Round</v>
      </c>
      <c r="H133" s="86" t="str">
        <f>WomenLeagueGames1stRound!C21</f>
        <v>SLIEMA WANDERERS</v>
      </c>
      <c r="I133" s="86" t="str">
        <f>WomenLeagueGames1stRound!D21</f>
        <v>PAOLA</v>
      </c>
      <c r="J133" s="86">
        <f>WomenLeagueGames1stRound!E21</f>
        <v>1</v>
      </c>
      <c r="K133" s="86">
        <f>WomenLeagueGames1stRound!F21</f>
        <v>3</v>
      </c>
      <c r="L133" s="132" t="s">
        <v>139</v>
      </c>
      <c r="M133" s="126"/>
      <c r="N133" s="126"/>
      <c r="O133" s="130"/>
      <c r="P133" s="130"/>
      <c r="Q133" s="130"/>
      <c r="R133" s="130"/>
      <c r="S133" s="130"/>
      <c r="T133" s="131"/>
      <c r="U133" s="131"/>
    </row>
    <row r="134" spans="2:21" ht="7.5" customHeight="1" x14ac:dyDescent="0.2">
      <c r="B134" s="80"/>
      <c r="C134" s="81"/>
      <c r="D134" s="82"/>
      <c r="E134" s="83"/>
      <c r="F134" s="84"/>
      <c r="G134" s="84"/>
      <c r="H134" s="84"/>
      <c r="I134" s="84"/>
      <c r="J134" s="84"/>
      <c r="K134" s="84"/>
      <c r="L134" s="126"/>
      <c r="M134" s="126"/>
      <c r="N134" s="126"/>
      <c r="O134" s="130"/>
      <c r="P134" s="130"/>
      <c r="Q134" s="130"/>
      <c r="R134" s="130"/>
      <c r="S134" s="130"/>
      <c r="T134" s="131"/>
      <c r="U134" s="131"/>
    </row>
    <row r="135" spans="2:21" x14ac:dyDescent="0.2">
      <c r="B135" s="76" t="s">
        <v>124</v>
      </c>
      <c r="C135" s="77">
        <v>42323</v>
      </c>
      <c r="D135" s="85" t="s">
        <v>133</v>
      </c>
      <c r="E135" s="79" t="s">
        <v>120</v>
      </c>
      <c r="F135" s="86" t="str">
        <f>WomenLeagueGames1stRound!A22</f>
        <v>WL-19</v>
      </c>
      <c r="G135" s="86" t="str">
        <f>WomenLeagueGames1stRound!B22</f>
        <v>1st Round</v>
      </c>
      <c r="H135" s="86" t="str">
        <f>WomenLeagueGames1stRound!C22</f>
        <v>BALZAN FLYERS 2</v>
      </c>
      <c r="I135" s="86" t="str">
        <f>WomenLeagueGames1stRound!D22</f>
        <v>MELLIEHA TRITONES</v>
      </c>
      <c r="J135" s="86">
        <f>WomenLeagueGames1stRound!E22</f>
        <v>2</v>
      </c>
      <c r="K135" s="86">
        <f>WomenLeagueGames1stRound!F22</f>
        <v>3</v>
      </c>
    </row>
    <row r="136" spans="2:21" ht="7.5" customHeight="1" x14ac:dyDescent="0.2">
      <c r="B136" s="80"/>
      <c r="C136" s="81"/>
      <c r="D136" s="82"/>
      <c r="E136" s="83"/>
      <c r="F136" s="84"/>
      <c r="G136" s="84"/>
      <c r="H136" s="84"/>
      <c r="I136" s="84"/>
      <c r="J136" s="84"/>
      <c r="K136" s="84"/>
      <c r="L136" s="126"/>
      <c r="M136" s="126"/>
      <c r="N136" s="126"/>
      <c r="O136" s="130"/>
      <c r="P136" s="130"/>
      <c r="Q136" s="130"/>
      <c r="R136" s="130"/>
      <c r="S136" s="130"/>
      <c r="T136" s="131"/>
      <c r="U136" s="131"/>
    </row>
    <row r="138" spans="2:21" x14ac:dyDescent="0.2">
      <c r="B138" s="111" t="s">
        <v>121</v>
      </c>
      <c r="C138" s="112">
        <v>42329</v>
      </c>
      <c r="D138" s="113" t="s">
        <v>141</v>
      </c>
      <c r="E138" s="114" t="s">
        <v>120</v>
      </c>
      <c r="F138" s="115" t="str">
        <f>WomenUnder18!A7</f>
        <v>WU18L-04</v>
      </c>
      <c r="G138" s="115" t="str">
        <f>WomenUnder18!B7</f>
        <v>2nd Round</v>
      </c>
      <c r="H138" s="115" t="str">
        <f>WomenUnder18!C7</f>
        <v>BALZAN FLYERS CROSSCRAFT</v>
      </c>
      <c r="I138" s="115" t="str">
        <f>WomenUnder18!D7</f>
        <v>SWIEQI PHOENIX</v>
      </c>
      <c r="J138" s="115">
        <f>WomenUnder18!E7</f>
        <v>0</v>
      </c>
      <c r="K138" s="115">
        <f>WomenUnder18!F7</f>
        <v>3</v>
      </c>
      <c r="M138" s="126"/>
      <c r="N138" s="126"/>
      <c r="O138" s="130"/>
      <c r="P138" s="130"/>
      <c r="Q138" s="130"/>
      <c r="R138" s="130"/>
      <c r="S138" s="130"/>
      <c r="T138" s="131"/>
      <c r="U138" s="131"/>
    </row>
    <row r="139" spans="2:21" ht="7.5" customHeight="1" x14ac:dyDescent="0.2">
      <c r="B139" s="116"/>
      <c r="C139" s="117"/>
      <c r="D139" s="118"/>
      <c r="E139" s="119"/>
      <c r="F139" s="120"/>
      <c r="G139" s="120"/>
      <c r="H139" s="120"/>
      <c r="I139" s="120"/>
      <c r="J139" s="120"/>
      <c r="K139" s="120"/>
      <c r="L139" s="126"/>
      <c r="M139" s="126"/>
      <c r="N139" s="126"/>
      <c r="O139" s="130"/>
      <c r="P139" s="130"/>
      <c r="Q139" s="130"/>
      <c r="R139" s="130"/>
      <c r="S139" s="130"/>
      <c r="T139" s="131"/>
      <c r="U139" s="131"/>
    </row>
    <row r="140" spans="2:21" x14ac:dyDescent="0.2">
      <c r="B140" s="76" t="s">
        <v>121</v>
      </c>
      <c r="C140" s="77">
        <v>42329</v>
      </c>
      <c r="D140" s="78" t="s">
        <v>137</v>
      </c>
      <c r="E140" s="79" t="s">
        <v>120</v>
      </c>
      <c r="F140" s="86" t="str">
        <f>WomenLeagueGames1stRound!A17</f>
        <v>WL-14</v>
      </c>
      <c r="G140" s="86" t="str">
        <f>WomenLeagueGames1stRound!B17</f>
        <v>1st Round</v>
      </c>
      <c r="H140" s="86" t="str">
        <f>WomenLeagueGames1stRound!C17</f>
        <v>BALZAN FLYERS</v>
      </c>
      <c r="I140" s="86" t="str">
        <f>WomenLeagueGames1stRound!D17</f>
        <v>SLIEMA WANDERERS</v>
      </c>
      <c r="J140" s="86">
        <f>WomenLeagueGames1stRound!E17</f>
        <v>3</v>
      </c>
      <c r="K140" s="86">
        <f>WomenLeagueGames1stRound!F17</f>
        <v>0</v>
      </c>
      <c r="L140" s="126"/>
      <c r="M140" s="126"/>
      <c r="N140" s="126"/>
      <c r="O140" s="130"/>
      <c r="P140" s="130"/>
      <c r="Q140" s="130"/>
      <c r="R140" s="130"/>
      <c r="S140" s="130"/>
      <c r="T140" s="131"/>
      <c r="U140" s="131"/>
    </row>
    <row r="141" spans="2:21" ht="7.5" customHeight="1" x14ac:dyDescent="0.2">
      <c r="B141" s="80"/>
      <c r="C141" s="81"/>
      <c r="D141" s="82"/>
      <c r="E141" s="83"/>
      <c r="F141" s="84"/>
      <c r="G141" s="84"/>
      <c r="H141" s="84"/>
      <c r="I141" s="84"/>
      <c r="J141" s="84"/>
      <c r="K141" s="84"/>
      <c r="L141" s="126"/>
      <c r="M141" s="126"/>
      <c r="N141" s="126"/>
      <c r="O141" s="130"/>
      <c r="P141" s="130"/>
      <c r="Q141" s="130"/>
      <c r="R141" s="130"/>
      <c r="S141" s="130"/>
      <c r="T141" s="131"/>
      <c r="U141" s="131"/>
    </row>
    <row r="142" spans="2:21" x14ac:dyDescent="0.2">
      <c r="B142" s="76" t="s">
        <v>121</v>
      </c>
      <c r="C142" s="77">
        <v>42329</v>
      </c>
      <c r="D142" s="85" t="s">
        <v>138</v>
      </c>
      <c r="E142" s="79" t="s">
        <v>120</v>
      </c>
      <c r="F142" s="86" t="str">
        <f>WomenLeagueGames1stRound!A19</f>
        <v>WL-16</v>
      </c>
      <c r="G142" s="86" t="str">
        <f>WomenLeagueGames1stRound!B19</f>
        <v>1st Round</v>
      </c>
      <c r="H142" s="86" t="str">
        <f>WomenLeagueGames1stRound!C19</f>
        <v>BIRKIRKARA</v>
      </c>
      <c r="I142" s="86" t="str">
        <f>WomenLeagueGames1stRound!D19</f>
        <v>PLAYVOLLEY GENERAL MEMBRANE</v>
      </c>
      <c r="J142" s="86">
        <f>WomenLeagueGames1stRound!E19</f>
        <v>0</v>
      </c>
      <c r="K142" s="86">
        <f>WomenLeagueGames1stRound!F19</f>
        <v>3</v>
      </c>
    </row>
    <row r="143" spans="2:21" ht="7.5" customHeight="1" x14ac:dyDescent="0.2">
      <c r="B143" s="80"/>
      <c r="C143" s="81"/>
      <c r="D143" s="82"/>
      <c r="E143" s="83"/>
      <c r="F143" s="84"/>
      <c r="G143" s="84"/>
      <c r="H143" s="84"/>
      <c r="I143" s="84"/>
      <c r="J143" s="84"/>
      <c r="K143" s="84"/>
      <c r="L143" s="126"/>
      <c r="M143" s="126"/>
      <c r="N143" s="126"/>
      <c r="O143" s="130"/>
      <c r="P143" s="130"/>
      <c r="Q143" s="130"/>
      <c r="R143" s="130"/>
      <c r="S143" s="130"/>
      <c r="T143" s="131"/>
      <c r="U143" s="131"/>
    </row>
    <row r="145" spans="2:21" x14ac:dyDescent="0.2">
      <c r="B145" s="76" t="s">
        <v>124</v>
      </c>
      <c r="C145" s="77">
        <v>42330</v>
      </c>
      <c r="D145" s="85" t="s">
        <v>129</v>
      </c>
      <c r="E145" s="79" t="s">
        <v>120</v>
      </c>
      <c r="F145" s="86" t="str">
        <f>WomenLeagueGames1stRound!A26</f>
        <v>WL-23</v>
      </c>
      <c r="G145" s="86" t="str">
        <f>WomenLeagueGames1stRound!B26</f>
        <v>1st Round</v>
      </c>
      <c r="H145" s="86" t="str">
        <f>WomenLeagueGames1stRound!C26</f>
        <v>FLEUR DE LYS TWISTEES</v>
      </c>
      <c r="I145" s="86" t="str">
        <f>WomenLeagueGames1stRound!D26</f>
        <v>BALZAN FLYERS 2</v>
      </c>
      <c r="J145" s="86">
        <f>WomenLeagueGames1stRound!E26</f>
        <v>3</v>
      </c>
      <c r="K145" s="86">
        <f>WomenLeagueGames1stRound!F26</f>
        <v>0</v>
      </c>
      <c r="L145" s="126"/>
      <c r="M145" s="126"/>
      <c r="N145" s="126"/>
      <c r="O145" s="130"/>
      <c r="P145" s="130"/>
      <c r="Q145" s="130"/>
      <c r="R145" s="130"/>
      <c r="S145" s="130"/>
      <c r="T145" s="131"/>
      <c r="U145" s="131"/>
    </row>
    <row r="146" spans="2:21" ht="7.5" customHeight="1" x14ac:dyDescent="0.2">
      <c r="B146" s="80"/>
      <c r="C146" s="81"/>
      <c r="D146" s="82"/>
      <c r="E146" s="83"/>
      <c r="F146" s="84"/>
      <c r="G146" s="84"/>
      <c r="H146" s="84"/>
      <c r="I146" s="84"/>
      <c r="J146" s="84"/>
      <c r="K146" s="84"/>
      <c r="L146" s="126"/>
      <c r="M146" s="126"/>
      <c r="N146" s="126"/>
      <c r="O146" s="130"/>
      <c r="P146" s="130"/>
      <c r="Q146" s="130"/>
      <c r="R146" s="130"/>
      <c r="S146" s="130"/>
      <c r="T146" s="131"/>
      <c r="U146" s="131"/>
    </row>
    <row r="147" spans="2:21" x14ac:dyDescent="0.2">
      <c r="B147" s="76" t="s">
        <v>124</v>
      </c>
      <c r="C147" s="77">
        <v>42330</v>
      </c>
      <c r="D147" s="85" t="s">
        <v>130</v>
      </c>
      <c r="E147" s="79" t="s">
        <v>120</v>
      </c>
      <c r="F147" s="86" t="str">
        <f>WomenLeagueGames1stRound!A27</f>
        <v>WL-24</v>
      </c>
      <c r="G147" s="86" t="str">
        <f>WomenLeagueGames1stRound!B27</f>
        <v>1st Round</v>
      </c>
      <c r="H147" s="86" t="str">
        <f>WomenLeagueGames1stRound!C27</f>
        <v>PAOLA</v>
      </c>
      <c r="I147" s="86" t="str">
        <f>WomenLeagueGames1stRound!D27</f>
        <v>SWIEQI PHOENIX</v>
      </c>
      <c r="J147" s="86">
        <f>WomenLeagueGames1stRound!E27</f>
        <v>3</v>
      </c>
      <c r="K147" s="86">
        <f>WomenLeagueGames1stRound!F27</f>
        <v>1</v>
      </c>
      <c r="L147" s="126"/>
      <c r="M147" s="126"/>
      <c r="N147" s="126"/>
      <c r="O147" s="130"/>
      <c r="P147" s="130"/>
      <c r="Q147" s="130"/>
      <c r="R147" s="130"/>
      <c r="S147" s="130"/>
      <c r="T147" s="131"/>
      <c r="U147" s="131"/>
    </row>
    <row r="148" spans="2:21" ht="7.5" customHeight="1" x14ac:dyDescent="0.2">
      <c r="B148" s="80"/>
      <c r="C148" s="81"/>
      <c r="D148" s="82"/>
      <c r="E148" s="83"/>
      <c r="F148" s="84"/>
      <c r="G148" s="84"/>
      <c r="H148" s="84"/>
      <c r="I148" s="84"/>
      <c r="J148" s="84"/>
      <c r="K148" s="84"/>
      <c r="L148" s="126"/>
      <c r="M148" s="126"/>
      <c r="N148" s="126"/>
      <c r="O148" s="130"/>
      <c r="P148" s="130"/>
      <c r="Q148" s="130"/>
      <c r="R148" s="130"/>
      <c r="S148" s="130"/>
      <c r="T148" s="131"/>
      <c r="U148" s="131"/>
    </row>
    <row r="149" spans="2:21" x14ac:dyDescent="0.2">
      <c r="B149" s="76" t="s">
        <v>124</v>
      </c>
      <c r="C149" s="77">
        <v>42330</v>
      </c>
      <c r="D149" s="85" t="s">
        <v>133</v>
      </c>
      <c r="E149" s="79" t="s">
        <v>120</v>
      </c>
      <c r="F149" s="86" t="str">
        <f>MenLeagueGames!A8</f>
        <v>ML-05</v>
      </c>
      <c r="G149" s="86" t="str">
        <f>MenLeagueGames!B8</f>
        <v>1st Round</v>
      </c>
      <c r="H149" s="86" t="str">
        <f>MenLeagueGames!C8</f>
        <v>FLEUR DE LYS TWISTEES</v>
      </c>
      <c r="I149" s="86" t="str">
        <f>MenLeagueGames!D8</f>
        <v>VALLETTA MAPEI</v>
      </c>
      <c r="J149" s="86">
        <f>MenLeagueGames!E8</f>
        <v>1</v>
      </c>
      <c r="K149" s="86">
        <f>MenLeagueGames!F8</f>
        <v>3</v>
      </c>
    </row>
    <row r="150" spans="2:21" ht="7.5" customHeight="1" x14ac:dyDescent="0.2">
      <c r="B150" s="80"/>
      <c r="C150" s="81"/>
      <c r="D150" s="82"/>
      <c r="E150" s="83"/>
      <c r="F150" s="84"/>
      <c r="G150" s="84"/>
      <c r="H150" s="84"/>
      <c r="I150" s="84"/>
      <c r="J150" s="84"/>
      <c r="K150" s="84"/>
      <c r="L150" s="126"/>
      <c r="M150" s="126"/>
      <c r="N150" s="126"/>
      <c r="O150" s="130"/>
      <c r="P150" s="130"/>
      <c r="Q150" s="130"/>
      <c r="R150" s="130"/>
      <c r="S150" s="130"/>
      <c r="T150" s="131"/>
      <c r="U150" s="131"/>
    </row>
    <row r="152" spans="2:21" x14ac:dyDescent="0.2">
      <c r="B152" s="111" t="s">
        <v>121</v>
      </c>
      <c r="C152" s="112">
        <v>42336</v>
      </c>
      <c r="D152" s="113" t="s">
        <v>141</v>
      </c>
      <c r="E152" s="114" t="s">
        <v>120</v>
      </c>
      <c r="F152" s="115" t="str">
        <f>WomenUnder18!A8</f>
        <v>WU18L-05</v>
      </c>
      <c r="G152" s="115" t="str">
        <f>WomenUnder18!B8</f>
        <v>2nd Round</v>
      </c>
      <c r="H152" s="115" t="str">
        <f>WomenUnder18!C8</f>
        <v>FLEUR DE LYS TWISTEES</v>
      </c>
      <c r="I152" s="115" t="str">
        <f>WomenUnder18!D8</f>
        <v>BALZAN FLYERS CROSSCRAFT</v>
      </c>
      <c r="J152" s="115">
        <f>WomenUnder18!E8</f>
        <v>1</v>
      </c>
      <c r="K152" s="115">
        <f>WomenUnder18!F8</f>
        <v>3</v>
      </c>
      <c r="L152" s="126"/>
      <c r="M152" s="126"/>
      <c r="N152" s="126"/>
      <c r="O152" s="130"/>
      <c r="P152" s="130"/>
      <c r="Q152" s="130"/>
      <c r="R152" s="130"/>
      <c r="S152" s="130"/>
      <c r="T152" s="131"/>
      <c r="U152" s="131"/>
    </row>
    <row r="153" spans="2:21" ht="7.5" customHeight="1" x14ac:dyDescent="0.2">
      <c r="B153" s="116"/>
      <c r="C153" s="117"/>
      <c r="D153" s="118"/>
      <c r="E153" s="119"/>
      <c r="F153" s="120"/>
      <c r="G153" s="120"/>
      <c r="H153" s="120"/>
      <c r="I153" s="120"/>
      <c r="J153" s="120"/>
      <c r="K153" s="120"/>
      <c r="L153" s="126"/>
      <c r="M153" s="126"/>
      <c r="N153" s="126"/>
      <c r="O153" s="130"/>
      <c r="P153" s="130"/>
      <c r="Q153" s="130"/>
      <c r="R153" s="130"/>
      <c r="S153" s="130"/>
      <c r="T153" s="131"/>
      <c r="U153" s="131"/>
    </row>
    <row r="154" spans="2:21" x14ac:dyDescent="0.2">
      <c r="B154" s="76" t="s">
        <v>121</v>
      </c>
      <c r="C154" s="77">
        <v>42336</v>
      </c>
      <c r="D154" s="78" t="s">
        <v>137</v>
      </c>
      <c r="E154" s="79" t="s">
        <v>120</v>
      </c>
      <c r="F154" s="86" t="str">
        <f>WomenLeagueGames1stRound!A23</f>
        <v>WL-20</v>
      </c>
      <c r="G154" s="86" t="str">
        <f>WomenLeagueGames1stRound!B23</f>
        <v>1st Round</v>
      </c>
      <c r="H154" s="86" t="str">
        <f>WomenLeagueGames1stRound!C23</f>
        <v>SWIEQI PHOENIX</v>
      </c>
      <c r="I154" s="86" t="str">
        <f>WomenLeagueGames1stRound!D23</f>
        <v>BALZAN FLYERS</v>
      </c>
      <c r="J154" s="86">
        <f>WomenLeagueGames1stRound!E23</f>
        <v>0</v>
      </c>
      <c r="K154" s="86">
        <f>WomenLeagueGames1stRound!F23</f>
        <v>3</v>
      </c>
      <c r="L154" s="126"/>
      <c r="M154" s="126"/>
      <c r="N154" s="126"/>
      <c r="O154" s="130"/>
      <c r="P154" s="130"/>
      <c r="Q154" s="130"/>
      <c r="R154" s="130"/>
      <c r="S154" s="130"/>
      <c r="T154" s="131"/>
      <c r="U154" s="131"/>
    </row>
    <row r="155" spans="2:21" ht="7.5" customHeight="1" x14ac:dyDescent="0.2">
      <c r="B155" s="80"/>
      <c r="C155" s="81"/>
      <c r="D155" s="82"/>
      <c r="E155" s="83"/>
      <c r="F155" s="84"/>
      <c r="G155" s="84"/>
      <c r="H155" s="84"/>
      <c r="I155" s="84"/>
      <c r="J155" s="84"/>
      <c r="K155" s="84"/>
      <c r="L155" s="126"/>
      <c r="M155" s="126"/>
      <c r="N155" s="126"/>
      <c r="O155" s="130"/>
      <c r="P155" s="130"/>
      <c r="Q155" s="130"/>
      <c r="R155" s="130"/>
      <c r="S155" s="130"/>
      <c r="T155" s="131"/>
      <c r="U155" s="131"/>
    </row>
    <row r="156" spans="2:21" x14ac:dyDescent="0.2">
      <c r="B156" s="76" t="s">
        <v>121</v>
      </c>
      <c r="C156" s="77">
        <v>42336</v>
      </c>
      <c r="D156" s="85" t="s">
        <v>138</v>
      </c>
      <c r="E156" s="79" t="s">
        <v>120</v>
      </c>
      <c r="F156" s="86" t="str">
        <f>MenLeagueGames!A9</f>
        <v>ML-06</v>
      </c>
      <c r="G156" s="86" t="str">
        <f>MenLeagueGames!B9</f>
        <v>1st Round</v>
      </c>
      <c r="H156" s="86" t="str">
        <f>MenLeagueGames!C9</f>
        <v>ALOYSIANS</v>
      </c>
      <c r="I156" s="86" t="str">
        <f>MenLeagueGames!D9</f>
        <v>MGARR</v>
      </c>
      <c r="J156" s="86">
        <f>MenLeagueGames!E9</f>
        <v>3</v>
      </c>
      <c r="K156" s="86">
        <f>MenLeagueGames!F9</f>
        <v>1</v>
      </c>
    </row>
    <row r="157" spans="2:21" ht="7.5" customHeight="1" x14ac:dyDescent="0.2">
      <c r="B157" s="80"/>
      <c r="C157" s="81"/>
      <c r="D157" s="82"/>
      <c r="E157" s="83"/>
      <c r="F157" s="84"/>
      <c r="G157" s="84"/>
      <c r="H157" s="84"/>
      <c r="I157" s="84"/>
      <c r="J157" s="84"/>
      <c r="K157" s="84"/>
      <c r="L157" s="126"/>
      <c r="M157" s="126"/>
      <c r="N157" s="126"/>
      <c r="O157" s="130"/>
      <c r="P157" s="130"/>
      <c r="Q157" s="130"/>
      <c r="R157" s="130"/>
      <c r="S157" s="130"/>
      <c r="T157" s="131"/>
      <c r="U157" s="131"/>
    </row>
    <row r="159" spans="2:21" x14ac:dyDescent="0.2">
      <c r="B159" s="111" t="s">
        <v>124</v>
      </c>
      <c r="C159" s="112">
        <v>42337</v>
      </c>
      <c r="D159" s="121" t="s">
        <v>140</v>
      </c>
      <c r="E159" s="114" t="s">
        <v>120</v>
      </c>
      <c r="F159" s="115" t="str">
        <f>WomenUnder16!A8</f>
        <v>WU16L-05</v>
      </c>
      <c r="G159" s="115" t="str">
        <f>WomenUnder16!B8</f>
        <v>1st Round</v>
      </c>
      <c r="H159" s="115" t="str">
        <f>WomenUnder16!C8</f>
        <v>PAOLA</v>
      </c>
      <c r="I159" s="115" t="str">
        <f>WomenUnder16!D8</f>
        <v>SWIEQI PHOENIX</v>
      </c>
      <c r="J159" s="115">
        <f>WomenUnder16!E8</f>
        <v>0</v>
      </c>
      <c r="K159" s="115">
        <f>WomenUnder16!F8</f>
        <v>3</v>
      </c>
      <c r="L159" s="126"/>
      <c r="M159" s="126"/>
      <c r="N159" s="126"/>
      <c r="O159" s="130"/>
      <c r="P159" s="130"/>
      <c r="Q159" s="130"/>
      <c r="R159" s="130"/>
      <c r="S159" s="130"/>
      <c r="T159" s="131"/>
      <c r="U159" s="131"/>
    </row>
    <row r="160" spans="2:21" ht="7.5" customHeight="1" x14ac:dyDescent="0.2">
      <c r="B160" s="116"/>
      <c r="C160" s="117"/>
      <c r="D160" s="118"/>
      <c r="E160" s="119"/>
      <c r="F160" s="120"/>
      <c r="G160" s="120"/>
      <c r="H160" s="120"/>
      <c r="I160" s="120"/>
      <c r="J160" s="120"/>
      <c r="K160" s="120"/>
      <c r="L160" s="126"/>
      <c r="M160" s="126"/>
      <c r="N160" s="126"/>
      <c r="O160" s="130"/>
      <c r="P160" s="130"/>
      <c r="Q160" s="130"/>
      <c r="R160" s="130"/>
      <c r="S160" s="130"/>
      <c r="T160" s="131"/>
      <c r="U160" s="131"/>
    </row>
    <row r="161" spans="1:21" x14ac:dyDescent="0.2">
      <c r="B161" s="111" t="s">
        <v>124</v>
      </c>
      <c r="C161" s="112">
        <v>42337</v>
      </c>
      <c r="D161" s="121" t="s">
        <v>140</v>
      </c>
      <c r="E161" s="114" t="s">
        <v>120</v>
      </c>
      <c r="F161" s="115" t="str">
        <f>WomenUnder16!A9</f>
        <v>WU16L-06</v>
      </c>
      <c r="G161" s="115" t="str">
        <f>WomenUnder16!B9</f>
        <v>1st Round</v>
      </c>
      <c r="H161" s="115" t="str">
        <f>WomenUnder16!C9</f>
        <v>BALZAN FLYERS CROSSCRAFT</v>
      </c>
      <c r="I161" s="115" t="str">
        <f>WomenUnder16!D9</f>
        <v>FLEUR DE LYS TWISTEES</v>
      </c>
      <c r="J161" s="115">
        <f>WomenUnder16!E9</f>
        <v>0</v>
      </c>
      <c r="K161" s="115">
        <f>WomenUnder16!F9</f>
        <v>3</v>
      </c>
      <c r="L161" s="126"/>
      <c r="M161" s="126"/>
      <c r="N161" s="126"/>
      <c r="O161" s="130"/>
      <c r="P161" s="130"/>
      <c r="Q161" s="130"/>
      <c r="R161" s="130"/>
      <c r="S161" s="130"/>
      <c r="T161" s="131"/>
      <c r="U161" s="131"/>
    </row>
    <row r="162" spans="1:21" ht="7.5" customHeight="1" x14ac:dyDescent="0.2">
      <c r="B162" s="116"/>
      <c r="C162" s="117"/>
      <c r="D162" s="118"/>
      <c r="E162" s="119"/>
      <c r="F162" s="120"/>
      <c r="G162" s="120"/>
      <c r="H162" s="120"/>
      <c r="I162" s="120"/>
      <c r="J162" s="120"/>
      <c r="K162" s="120"/>
      <c r="L162" s="126"/>
      <c r="M162" s="126"/>
      <c r="N162" s="126"/>
      <c r="O162" s="130"/>
      <c r="P162" s="130"/>
      <c r="Q162" s="130"/>
      <c r="R162" s="130"/>
      <c r="S162" s="130"/>
      <c r="T162" s="131"/>
      <c r="U162" s="131"/>
    </row>
    <row r="163" spans="1:21" ht="15.75" x14ac:dyDescent="0.25">
      <c r="B163" s="76" t="s">
        <v>124</v>
      </c>
      <c r="C163" s="77">
        <v>42337</v>
      </c>
      <c r="D163" s="85" t="s">
        <v>129</v>
      </c>
      <c r="E163" s="79" t="s">
        <v>120</v>
      </c>
      <c r="F163" s="86" t="str">
        <f>WomenLeagueGames1stRound!A24</f>
        <v>WL-21</v>
      </c>
      <c r="G163" s="86" t="str">
        <f>WomenLeagueGames1stRound!B24</f>
        <v>1st Round</v>
      </c>
      <c r="H163" s="86" t="str">
        <f>WomenLeagueGames1stRound!C24</f>
        <v>PLAYVOLLEY GENERAL MEMBRANE</v>
      </c>
      <c r="I163" s="86" t="str">
        <f>WomenLeagueGames1stRound!D24</f>
        <v>MGARR</v>
      </c>
      <c r="J163" s="86">
        <f>WomenLeagueGames1stRound!E24</f>
        <v>1</v>
      </c>
      <c r="K163" s="86">
        <f>WomenLeagueGames1stRound!F24</f>
        <v>3</v>
      </c>
      <c r="L163" s="132" t="s">
        <v>139</v>
      </c>
      <c r="M163" s="126"/>
      <c r="N163" s="126"/>
      <c r="O163" s="130"/>
      <c r="P163" s="130"/>
      <c r="Q163" s="130"/>
      <c r="R163" s="130"/>
      <c r="S163" s="130"/>
      <c r="T163" s="131"/>
      <c r="U163" s="131"/>
    </row>
    <row r="164" spans="1:21" ht="7.5" customHeight="1" x14ac:dyDescent="0.2">
      <c r="B164" s="80"/>
      <c r="C164" s="81"/>
      <c r="D164" s="82"/>
      <c r="E164" s="83"/>
      <c r="F164" s="84"/>
      <c r="G164" s="84"/>
      <c r="H164" s="84"/>
      <c r="I164" s="84"/>
      <c r="J164" s="84"/>
      <c r="K164" s="84"/>
      <c r="L164" s="126"/>
      <c r="M164" s="126"/>
      <c r="N164" s="126"/>
      <c r="O164" s="130"/>
      <c r="P164" s="130"/>
      <c r="Q164" s="130"/>
      <c r="R164" s="130"/>
      <c r="S164" s="130"/>
      <c r="T164" s="131"/>
      <c r="U164" s="131"/>
    </row>
    <row r="165" spans="1:21" x14ac:dyDescent="0.2">
      <c r="B165" s="76" t="s">
        <v>124</v>
      </c>
      <c r="C165" s="77">
        <v>42337</v>
      </c>
      <c r="D165" s="85" t="s">
        <v>130</v>
      </c>
      <c r="E165" s="79" t="s">
        <v>120</v>
      </c>
      <c r="F165" s="86" t="str">
        <f>WomenLeagueGames1stRound!A33</f>
        <v>WL-30</v>
      </c>
      <c r="G165" s="86" t="str">
        <f>WomenLeagueGames1stRound!B33</f>
        <v>1st Round</v>
      </c>
      <c r="H165" s="86" t="str">
        <f>WomenLeagueGames1stRound!C33</f>
        <v>MELLIEHA TRITONES</v>
      </c>
      <c r="I165" s="86" t="str">
        <f>WomenLeagueGames1stRound!D33</f>
        <v>PAOLA</v>
      </c>
      <c r="J165" s="86">
        <f>WomenLeagueGames1stRound!E33</f>
        <v>1</v>
      </c>
      <c r="K165" s="86">
        <f>WomenLeagueGames1stRound!F33</f>
        <v>3</v>
      </c>
      <c r="L165" s="126"/>
      <c r="M165" s="126"/>
      <c r="N165" s="126"/>
      <c r="O165" s="130"/>
      <c r="P165" s="130"/>
      <c r="Q165" s="130"/>
      <c r="R165" s="130"/>
      <c r="S165" s="130"/>
      <c r="T165" s="131"/>
      <c r="U165" s="131"/>
    </row>
    <row r="166" spans="1:21" ht="7.5" customHeight="1" x14ac:dyDescent="0.2">
      <c r="B166" s="80"/>
      <c r="C166" s="81"/>
      <c r="D166" s="82"/>
      <c r="E166" s="83"/>
      <c r="F166" s="84"/>
      <c r="G166" s="84"/>
      <c r="H166" s="84"/>
      <c r="I166" s="84"/>
      <c r="J166" s="84"/>
      <c r="K166" s="84"/>
      <c r="L166" s="126"/>
      <c r="M166" s="126"/>
      <c r="N166" s="126"/>
      <c r="O166" s="130"/>
      <c r="P166" s="130"/>
      <c r="Q166" s="130"/>
      <c r="R166" s="130"/>
      <c r="S166" s="130"/>
      <c r="T166" s="131"/>
      <c r="U166" s="131"/>
    </row>
    <row r="167" spans="1:21" x14ac:dyDescent="0.2">
      <c r="B167" s="76" t="s">
        <v>124</v>
      </c>
      <c r="C167" s="77">
        <v>42337</v>
      </c>
      <c r="D167" s="85" t="s">
        <v>133</v>
      </c>
      <c r="E167" s="79" t="s">
        <v>120</v>
      </c>
      <c r="F167" s="86" t="str">
        <f>WomenLeagueGames1stRound!A47</f>
        <v>WL-44</v>
      </c>
      <c r="G167" s="86" t="str">
        <f>WomenLeagueGames1stRound!B47</f>
        <v>1st Round</v>
      </c>
      <c r="H167" s="86" t="str">
        <f>WomenLeagueGames1stRound!C47</f>
        <v>SLIEMA WANDERERS</v>
      </c>
      <c r="I167" s="86" t="str">
        <f>WomenLeagueGames1stRound!D47</f>
        <v>FLEUR DE LYS TWISTEES</v>
      </c>
      <c r="J167" s="86">
        <f>WomenLeagueGames1stRound!E47</f>
        <v>0</v>
      </c>
      <c r="K167" s="86">
        <f>WomenLeagueGames1stRound!F47</f>
        <v>3</v>
      </c>
    </row>
    <row r="168" spans="1:21" ht="7.5" customHeight="1" x14ac:dyDescent="0.2">
      <c r="B168" s="80"/>
      <c r="C168" s="81"/>
      <c r="D168" s="82"/>
      <c r="E168" s="83"/>
      <c r="F168" s="84"/>
      <c r="G168" s="84"/>
      <c r="H168" s="84"/>
      <c r="I168" s="84"/>
      <c r="J168" s="84"/>
      <c r="K168" s="84"/>
      <c r="L168" s="126"/>
      <c r="M168" s="126"/>
      <c r="N168" s="126"/>
      <c r="O168" s="130"/>
      <c r="P168" s="130"/>
      <c r="Q168" s="130"/>
      <c r="R168" s="130"/>
      <c r="S168" s="130"/>
      <c r="T168" s="131"/>
      <c r="U168" s="131"/>
    </row>
    <row r="170" spans="1:21" s="127" customFormat="1" ht="26.25" x14ac:dyDescent="0.4">
      <c r="A170" s="242" t="s">
        <v>143</v>
      </c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126"/>
      <c r="M170" s="126"/>
      <c r="N170" s="126"/>
      <c r="O170" s="130"/>
      <c r="P170" s="130"/>
      <c r="Q170" s="130"/>
      <c r="R170" s="130"/>
      <c r="S170" s="130"/>
      <c r="T170" s="130"/>
      <c r="U170" s="130"/>
    </row>
    <row r="172" spans="1:21" x14ac:dyDescent="0.2">
      <c r="B172" s="111" t="s">
        <v>121</v>
      </c>
      <c r="C172" s="112">
        <v>42343</v>
      </c>
      <c r="D172" s="113" t="s">
        <v>141</v>
      </c>
      <c r="E172" s="114" t="s">
        <v>120</v>
      </c>
      <c r="F172" s="115" t="str">
        <f>WomenUnder18!A9</f>
        <v>WU18L-06</v>
      </c>
      <c r="G172" s="115" t="str">
        <f>WomenUnder18!B9</f>
        <v>2nd Round</v>
      </c>
      <c r="H172" s="115" t="str">
        <f>WomenUnder18!C9</f>
        <v>SWIEQI PHOENIX</v>
      </c>
      <c r="I172" s="115" t="str">
        <f>WomenUnder18!D9</f>
        <v>FLEUR DE LYS TWISTEES</v>
      </c>
      <c r="J172" s="115">
        <f>WomenUnder18!E9</f>
        <v>3</v>
      </c>
      <c r="K172" s="115">
        <f>WomenUnder18!F9</f>
        <v>0</v>
      </c>
      <c r="L172" s="126"/>
      <c r="M172" s="126"/>
      <c r="N172" s="126"/>
      <c r="O172" s="130"/>
      <c r="P172" s="130"/>
      <c r="Q172" s="130"/>
      <c r="R172" s="130"/>
      <c r="S172" s="130"/>
      <c r="T172" s="131"/>
      <c r="U172" s="131"/>
    </row>
    <row r="173" spans="1:21" ht="7.5" customHeight="1" x14ac:dyDescent="0.2">
      <c r="B173" s="116"/>
      <c r="C173" s="117"/>
      <c r="D173" s="118"/>
      <c r="E173" s="119"/>
      <c r="F173" s="120"/>
      <c r="G173" s="120"/>
      <c r="H173" s="120"/>
      <c r="I173" s="120"/>
      <c r="J173" s="120"/>
      <c r="K173" s="120"/>
      <c r="L173" s="126"/>
      <c r="M173" s="126"/>
      <c r="N173" s="126"/>
      <c r="O173" s="130"/>
      <c r="P173" s="130"/>
      <c r="Q173" s="130"/>
      <c r="R173" s="130"/>
      <c r="S173" s="130"/>
      <c r="T173" s="131"/>
      <c r="U173" s="131"/>
    </row>
    <row r="174" spans="1:21" x14ac:dyDescent="0.2">
      <c r="B174" s="76" t="s">
        <v>121</v>
      </c>
      <c r="C174" s="77">
        <v>42343</v>
      </c>
      <c r="D174" s="78" t="s">
        <v>137</v>
      </c>
      <c r="E174" s="79" t="s">
        <v>120</v>
      </c>
      <c r="F174" s="86" t="str">
        <f>WomenLeagueGames1stRound!A25</f>
        <v>WL-22</v>
      </c>
      <c r="G174" s="86" t="str">
        <f>WomenLeagueGames1stRound!B25</f>
        <v>1st Round</v>
      </c>
      <c r="H174" s="86" t="str">
        <f>WomenLeagueGames1stRound!C25</f>
        <v>BIRKIRKARA</v>
      </c>
      <c r="I174" s="86" t="str">
        <f>WomenLeagueGames1stRound!D25</f>
        <v>SLIEMA WANDERERS</v>
      </c>
      <c r="J174" s="86">
        <f>WomenLeagueGames1stRound!E25</f>
        <v>1</v>
      </c>
      <c r="K174" s="86">
        <f>WomenLeagueGames1stRound!F25</f>
        <v>3</v>
      </c>
      <c r="L174" s="126"/>
      <c r="M174" s="126"/>
      <c r="N174" s="126"/>
      <c r="O174" s="130"/>
      <c r="P174" s="130"/>
      <c r="Q174" s="130"/>
      <c r="R174" s="130"/>
      <c r="S174" s="130"/>
      <c r="T174" s="131"/>
      <c r="U174" s="131"/>
    </row>
    <row r="175" spans="1:21" ht="7.5" customHeight="1" x14ac:dyDescent="0.2">
      <c r="B175" s="80"/>
      <c r="C175" s="81"/>
      <c r="D175" s="82"/>
      <c r="E175" s="83"/>
      <c r="F175" s="84"/>
      <c r="G175" s="84"/>
      <c r="H175" s="84"/>
      <c r="I175" s="84"/>
      <c r="J175" s="84"/>
      <c r="K175" s="84"/>
      <c r="L175" s="126"/>
      <c r="M175" s="126"/>
      <c r="N175" s="126"/>
      <c r="O175" s="130"/>
      <c r="P175" s="130"/>
      <c r="Q175" s="130"/>
      <c r="R175" s="130"/>
      <c r="S175" s="130"/>
      <c r="T175" s="131"/>
      <c r="U175" s="131"/>
    </row>
    <row r="176" spans="1:21" x14ac:dyDescent="0.2">
      <c r="B176" s="76" t="s">
        <v>121</v>
      </c>
      <c r="C176" s="77">
        <v>42343</v>
      </c>
      <c r="D176" s="85" t="s">
        <v>138</v>
      </c>
      <c r="E176" s="79" t="s">
        <v>120</v>
      </c>
      <c r="F176" s="86" t="str">
        <f>WomenLeagueGames1stRound!A28</f>
        <v>WL-25</v>
      </c>
      <c r="G176" s="86" t="str">
        <f>WomenLeagueGames1stRound!B28</f>
        <v>1st Round</v>
      </c>
      <c r="H176" s="86" t="str">
        <f>WomenLeagueGames1stRound!C28</f>
        <v>MELLIEHA TRITONES</v>
      </c>
      <c r="I176" s="86" t="str">
        <f>WomenLeagueGames1stRound!D28</f>
        <v>BALZAN FLYERS</v>
      </c>
      <c r="J176" s="86">
        <f>WomenLeagueGames1stRound!E28</f>
        <v>0</v>
      </c>
      <c r="K176" s="86">
        <f>WomenLeagueGames1stRound!F28</f>
        <v>3</v>
      </c>
    </row>
    <row r="177" spans="2:21" ht="7.5" customHeight="1" x14ac:dyDescent="0.2">
      <c r="B177" s="80"/>
      <c r="C177" s="81"/>
      <c r="D177" s="82"/>
      <c r="E177" s="83"/>
      <c r="F177" s="84"/>
      <c r="G177" s="84"/>
      <c r="H177" s="84"/>
      <c r="I177" s="84"/>
      <c r="J177" s="84"/>
      <c r="K177" s="84"/>
      <c r="L177" s="126"/>
      <c r="M177" s="126"/>
      <c r="N177" s="126"/>
      <c r="O177" s="130"/>
      <c r="P177" s="130"/>
      <c r="Q177" s="130"/>
      <c r="R177" s="130"/>
      <c r="S177" s="130"/>
      <c r="T177" s="131"/>
      <c r="U177" s="131"/>
    </row>
    <row r="179" spans="2:21" x14ac:dyDescent="0.2">
      <c r="B179" s="111" t="s">
        <v>124</v>
      </c>
      <c r="C179" s="112">
        <v>42344</v>
      </c>
      <c r="D179" s="121" t="s">
        <v>140</v>
      </c>
      <c r="E179" s="114" t="s">
        <v>120</v>
      </c>
      <c r="F179" s="115" t="str">
        <f>WomenUnder16!A10</f>
        <v>WU16L-07</v>
      </c>
      <c r="G179" s="115" t="str">
        <f>WomenUnder16!B10</f>
        <v>2nd Round</v>
      </c>
      <c r="H179" s="115" t="str">
        <f>WomenUnder16!C10</f>
        <v>PAOLA</v>
      </c>
      <c r="I179" s="115" t="str">
        <f>WomenUnder16!D10</f>
        <v>BALZAN FLYERS CROSSCRAFT</v>
      </c>
      <c r="J179" s="115">
        <f>WomenUnder16!E10</f>
        <v>2</v>
      </c>
      <c r="K179" s="115">
        <f>WomenUnder16!F10</f>
        <v>3</v>
      </c>
      <c r="L179" s="126"/>
      <c r="M179" s="126"/>
      <c r="N179" s="126"/>
      <c r="O179" s="130"/>
      <c r="P179" s="130"/>
      <c r="Q179" s="130"/>
      <c r="R179" s="130"/>
      <c r="S179" s="130"/>
      <c r="T179" s="131"/>
      <c r="U179" s="131"/>
    </row>
    <row r="180" spans="2:21" ht="7.5" customHeight="1" x14ac:dyDescent="0.2">
      <c r="B180" s="116"/>
      <c r="C180" s="117"/>
      <c r="D180" s="118"/>
      <c r="E180" s="119"/>
      <c r="F180" s="120"/>
      <c r="G180" s="120"/>
      <c r="H180" s="120"/>
      <c r="I180" s="120"/>
      <c r="J180" s="120"/>
      <c r="K180" s="120"/>
      <c r="L180" s="126"/>
      <c r="M180" s="126"/>
      <c r="N180" s="126"/>
      <c r="O180" s="130"/>
      <c r="P180" s="130"/>
      <c r="Q180" s="130"/>
      <c r="R180" s="130"/>
      <c r="S180" s="130"/>
      <c r="T180" s="131"/>
      <c r="U180" s="131"/>
    </row>
    <row r="181" spans="2:21" x14ac:dyDescent="0.2">
      <c r="B181" s="111" t="s">
        <v>124</v>
      </c>
      <c r="C181" s="112">
        <v>42344</v>
      </c>
      <c r="D181" s="121" t="s">
        <v>140</v>
      </c>
      <c r="E181" s="114" t="s">
        <v>120</v>
      </c>
      <c r="F181" s="115" t="str">
        <f>WomenUnder16!A11</f>
        <v>WU16L-08</v>
      </c>
      <c r="G181" s="115" t="str">
        <f>WomenUnder16!B11</f>
        <v>2nd Round</v>
      </c>
      <c r="H181" s="115" t="str">
        <f>WomenUnder16!C11</f>
        <v>SWIEQI PHOENIX</v>
      </c>
      <c r="I181" s="115" t="str">
        <f>WomenUnder16!D11</f>
        <v>FLEUR DE LYS TWISTEES</v>
      </c>
      <c r="J181" s="115">
        <f>WomenUnder16!E11</f>
        <v>3</v>
      </c>
      <c r="K181" s="115">
        <f>WomenUnder16!F11</f>
        <v>2</v>
      </c>
      <c r="L181" s="126"/>
      <c r="M181" s="126"/>
      <c r="N181" s="126"/>
      <c r="O181" s="130"/>
      <c r="P181" s="130"/>
      <c r="Q181" s="130"/>
      <c r="R181" s="130"/>
      <c r="S181" s="130"/>
      <c r="T181" s="131"/>
      <c r="U181" s="131"/>
    </row>
    <row r="182" spans="2:21" ht="7.5" customHeight="1" x14ac:dyDescent="0.2">
      <c r="B182" s="116"/>
      <c r="C182" s="117"/>
      <c r="D182" s="118"/>
      <c r="E182" s="119"/>
      <c r="F182" s="120"/>
      <c r="G182" s="120"/>
      <c r="H182" s="120"/>
      <c r="I182" s="120"/>
      <c r="J182" s="120"/>
      <c r="K182" s="120"/>
      <c r="L182" s="126"/>
      <c r="M182" s="126"/>
      <c r="N182" s="126"/>
      <c r="O182" s="130"/>
      <c r="P182" s="130"/>
      <c r="Q182" s="130"/>
      <c r="R182" s="130"/>
      <c r="S182" s="130"/>
      <c r="T182" s="131"/>
      <c r="U182" s="131"/>
    </row>
    <row r="183" spans="2:21" x14ac:dyDescent="0.2">
      <c r="B183" s="76" t="s">
        <v>124</v>
      </c>
      <c r="C183" s="77">
        <v>42344</v>
      </c>
      <c r="D183" s="85" t="s">
        <v>129</v>
      </c>
      <c r="E183" s="79" t="s">
        <v>120</v>
      </c>
      <c r="F183" s="86" t="str">
        <f>MenLeagueGames!A11</f>
        <v>ML-08</v>
      </c>
      <c r="G183" s="86" t="str">
        <f>MenLeagueGames!B11</f>
        <v>2nd Round</v>
      </c>
      <c r="H183" s="86" t="str">
        <f>MenLeagueGames!C11</f>
        <v>VALLETTA MAPEI</v>
      </c>
      <c r="I183" s="86" t="str">
        <f>MenLeagueGames!D11</f>
        <v>MGARR</v>
      </c>
      <c r="J183" s="86">
        <f>MenLeagueGames!E11</f>
        <v>3</v>
      </c>
      <c r="K183" s="86">
        <f>MenLeagueGames!F11</f>
        <v>1</v>
      </c>
      <c r="L183" s="126"/>
      <c r="M183" s="126"/>
      <c r="N183" s="126"/>
      <c r="O183" s="130"/>
      <c r="P183" s="130"/>
      <c r="Q183" s="130"/>
      <c r="R183" s="130"/>
      <c r="S183" s="130"/>
      <c r="T183" s="131"/>
      <c r="U183" s="131"/>
    </row>
    <row r="184" spans="2:21" ht="7.5" customHeight="1" x14ac:dyDescent="0.2">
      <c r="B184" s="80"/>
      <c r="C184" s="81"/>
      <c r="D184" s="82"/>
      <c r="E184" s="83"/>
      <c r="F184" s="84"/>
      <c r="G184" s="84"/>
      <c r="H184" s="84"/>
      <c r="I184" s="84"/>
      <c r="J184" s="84"/>
      <c r="K184" s="84"/>
      <c r="L184" s="126"/>
      <c r="M184" s="126"/>
      <c r="N184" s="126"/>
      <c r="O184" s="130"/>
      <c r="P184" s="130"/>
      <c r="Q184" s="130"/>
      <c r="R184" s="130"/>
      <c r="S184" s="130"/>
      <c r="T184" s="131"/>
      <c r="U184" s="131"/>
    </row>
    <row r="185" spans="2:21" x14ac:dyDescent="0.2">
      <c r="B185" s="76" t="s">
        <v>124</v>
      </c>
      <c r="C185" s="77">
        <v>42344</v>
      </c>
      <c r="D185" s="85" t="s">
        <v>130</v>
      </c>
      <c r="E185" s="79" t="s">
        <v>120</v>
      </c>
      <c r="F185" s="86" t="str">
        <f>WomenLeagueGames1stRound!A30</f>
        <v>WL-27</v>
      </c>
      <c r="G185" s="86" t="str">
        <f>WomenLeagueGames1stRound!B30</f>
        <v>1st Round</v>
      </c>
      <c r="H185" s="86" t="str">
        <f>WomenLeagueGames1stRound!C30</f>
        <v>BALZAN FLYERS 2</v>
      </c>
      <c r="I185" s="86" t="str">
        <f>WomenLeagueGames1stRound!D30</f>
        <v>MGARR</v>
      </c>
      <c r="J185" s="86">
        <f>WomenLeagueGames1stRound!E30</f>
        <v>2</v>
      </c>
      <c r="K185" s="86">
        <f>WomenLeagueGames1stRound!F30</f>
        <v>3</v>
      </c>
      <c r="L185" s="126"/>
      <c r="M185" s="126"/>
      <c r="N185" s="126"/>
      <c r="O185" s="130"/>
      <c r="P185" s="130"/>
      <c r="Q185" s="130"/>
      <c r="R185" s="130"/>
      <c r="S185" s="130"/>
      <c r="T185" s="131"/>
      <c r="U185" s="131"/>
    </row>
    <row r="186" spans="2:21" ht="7.5" customHeight="1" x14ac:dyDescent="0.2">
      <c r="B186" s="80"/>
      <c r="C186" s="81"/>
      <c r="D186" s="82"/>
      <c r="E186" s="83"/>
      <c r="F186" s="84"/>
      <c r="G186" s="84"/>
      <c r="H186" s="84"/>
      <c r="I186" s="84"/>
      <c r="J186" s="84"/>
      <c r="K186" s="84"/>
      <c r="L186" s="126"/>
      <c r="M186" s="126"/>
      <c r="N186" s="126"/>
      <c r="O186" s="130"/>
      <c r="P186" s="130"/>
      <c r="Q186" s="130"/>
      <c r="R186" s="130"/>
      <c r="S186" s="130"/>
      <c r="T186" s="131"/>
      <c r="U186" s="131"/>
    </row>
    <row r="187" spans="2:21" ht="15.75" x14ac:dyDescent="0.25">
      <c r="B187" s="76" t="s">
        <v>124</v>
      </c>
      <c r="C187" s="77">
        <v>42344</v>
      </c>
      <c r="D187" s="85" t="s">
        <v>133</v>
      </c>
      <c r="E187" s="79" t="s">
        <v>120</v>
      </c>
      <c r="F187" s="86" t="str">
        <f>WomenLeagueGames1stRound!A38</f>
        <v>WL-35</v>
      </c>
      <c r="G187" s="86" t="str">
        <f>WomenLeagueGames1stRound!B38</f>
        <v>1st Round</v>
      </c>
      <c r="H187" s="86" t="str">
        <f>WomenLeagueGames1stRound!C38</f>
        <v>FLEUR DE LYS TWISTEES</v>
      </c>
      <c r="I187" s="86" t="str">
        <f>WomenLeagueGames1stRound!D38</f>
        <v>PAOLA</v>
      </c>
      <c r="J187" s="86">
        <f>WomenLeagueGames1stRound!E38</f>
        <v>0</v>
      </c>
      <c r="K187" s="86">
        <f>WomenLeagueGames1stRound!F38</f>
        <v>3</v>
      </c>
      <c r="L187" s="132" t="s">
        <v>139</v>
      </c>
    </row>
    <row r="188" spans="2:21" ht="7.5" customHeight="1" x14ac:dyDescent="0.2">
      <c r="B188" s="80"/>
      <c r="C188" s="81"/>
      <c r="D188" s="82"/>
      <c r="E188" s="83"/>
      <c r="F188" s="84"/>
      <c r="G188" s="84"/>
      <c r="H188" s="84"/>
      <c r="I188" s="84"/>
      <c r="J188" s="84"/>
      <c r="K188" s="84"/>
      <c r="L188" s="126"/>
      <c r="M188" s="126"/>
      <c r="N188" s="126"/>
      <c r="O188" s="130"/>
      <c r="P188" s="130"/>
      <c r="Q188" s="130"/>
      <c r="R188" s="130"/>
      <c r="S188" s="130"/>
      <c r="T188" s="131"/>
      <c r="U188" s="131"/>
    </row>
    <row r="190" spans="2:21" x14ac:dyDescent="0.2">
      <c r="B190" s="76" t="s">
        <v>127</v>
      </c>
      <c r="C190" s="77">
        <v>42346</v>
      </c>
      <c r="D190" s="85" t="s">
        <v>130</v>
      </c>
      <c r="E190" s="79" t="s">
        <v>120</v>
      </c>
      <c r="F190" s="86" t="str">
        <f>ChristmasCupMen!A4</f>
        <v>CCM-01</v>
      </c>
      <c r="G190" s="86" t="str">
        <f>ChristmasCupMen!B4</f>
        <v>Semi-Final 1</v>
      </c>
      <c r="H190" s="86" t="str">
        <f>ChristmasCupMen!C4</f>
        <v>FLEUR DE LYS TWISTEES</v>
      </c>
      <c r="I190" s="86" t="str">
        <f>ChristmasCupMen!D4</f>
        <v>ALOYSIANS</v>
      </c>
      <c r="J190" s="86">
        <f>ChristmasCupMen!E4</f>
        <v>3</v>
      </c>
      <c r="K190" s="86">
        <f>ChristmasCupMen!F4</f>
        <v>0</v>
      </c>
      <c r="L190" s="126"/>
      <c r="M190" s="126"/>
      <c r="N190" s="126"/>
      <c r="O190" s="130"/>
      <c r="P190" s="130"/>
      <c r="Q190" s="130"/>
      <c r="R190" s="130"/>
      <c r="S190" s="130"/>
      <c r="T190" s="131"/>
      <c r="U190" s="131"/>
    </row>
    <row r="191" spans="2:21" ht="7.5" customHeight="1" x14ac:dyDescent="0.2">
      <c r="B191" s="80"/>
      <c r="C191" s="81"/>
      <c r="D191" s="82"/>
      <c r="E191" s="83"/>
      <c r="F191" s="84"/>
      <c r="G191" s="84"/>
      <c r="H191" s="84"/>
      <c r="I191" s="84"/>
      <c r="J191" s="84"/>
      <c r="K191" s="84"/>
      <c r="L191" s="126"/>
      <c r="M191" s="126"/>
      <c r="N191" s="126"/>
      <c r="O191" s="130"/>
      <c r="P191" s="130"/>
      <c r="Q191" s="130"/>
      <c r="R191" s="130"/>
      <c r="S191" s="130"/>
      <c r="T191" s="131"/>
      <c r="U191" s="131"/>
    </row>
    <row r="192" spans="2:21" ht="15.75" x14ac:dyDescent="0.25">
      <c r="B192" s="76" t="s">
        <v>127</v>
      </c>
      <c r="C192" s="77">
        <v>42346</v>
      </c>
      <c r="D192" s="85" t="s">
        <v>119</v>
      </c>
      <c r="E192" s="79" t="s">
        <v>366</v>
      </c>
      <c r="F192" s="86" t="str">
        <f>ChristmasCupMen!A5</f>
        <v>CCM-02</v>
      </c>
      <c r="G192" s="86" t="str">
        <f>ChristmasCupMen!B5</f>
        <v>Semi-Final 2</v>
      </c>
      <c r="H192" s="86" t="str">
        <f>ChristmasCupMen!C5</f>
        <v>MGARR</v>
      </c>
      <c r="I192" s="86" t="str">
        <f>ChristmasCupMen!D5</f>
        <v>VALLETTA</v>
      </c>
      <c r="J192" s="86">
        <f>ChristmasCupMen!E5</f>
        <v>0</v>
      </c>
      <c r="K192" s="86">
        <f>ChristmasCupMen!F5</f>
        <v>3</v>
      </c>
      <c r="L192" s="132" t="s">
        <v>367</v>
      </c>
    </row>
    <row r="193" spans="2:21" ht="7.5" customHeight="1" x14ac:dyDescent="0.2">
      <c r="B193" s="80"/>
      <c r="C193" s="81"/>
      <c r="D193" s="82"/>
      <c r="E193" s="83"/>
      <c r="F193" s="84"/>
      <c r="G193" s="84"/>
      <c r="H193" s="84"/>
      <c r="I193" s="84"/>
      <c r="J193" s="84"/>
      <c r="K193" s="84"/>
      <c r="L193" s="126"/>
      <c r="M193" s="126"/>
      <c r="N193" s="126"/>
      <c r="O193" s="130"/>
      <c r="P193" s="130"/>
      <c r="Q193" s="130"/>
      <c r="R193" s="130"/>
      <c r="S193" s="130"/>
      <c r="T193" s="131"/>
      <c r="U193" s="131"/>
    </row>
    <row r="195" spans="2:21" ht="15.75" x14ac:dyDescent="0.25">
      <c r="B195" s="76" t="s">
        <v>118</v>
      </c>
      <c r="C195" s="77">
        <v>42348</v>
      </c>
      <c r="D195" s="85" t="s">
        <v>119</v>
      </c>
      <c r="E195" s="79" t="s">
        <v>120</v>
      </c>
      <c r="F195" s="86" t="str">
        <f>ChristmasCupWomen!A6</f>
        <v>CCL-03</v>
      </c>
      <c r="G195" s="86" t="str">
        <f>ChristmasCupWomen!B6</f>
        <v>1st Round</v>
      </c>
      <c r="H195" s="86" t="str">
        <f>ChristmasCupWomen!C6</f>
        <v>PAOLA</v>
      </c>
      <c r="I195" s="86" t="str">
        <f>ChristmasCupWomen!D6</f>
        <v>FLEUR DE LYS TWISTEES</v>
      </c>
      <c r="J195" s="86">
        <f>ChristmasCupWomen!E6</f>
        <v>1</v>
      </c>
      <c r="K195" s="86">
        <f>ChristmasCupWomen!F6</f>
        <v>3</v>
      </c>
      <c r="L195" s="132" t="s">
        <v>367</v>
      </c>
    </row>
    <row r="196" spans="2:21" ht="7.5" customHeight="1" x14ac:dyDescent="0.2">
      <c r="B196" s="80"/>
      <c r="C196" s="81"/>
      <c r="D196" s="82"/>
      <c r="E196" s="83"/>
      <c r="F196" s="84"/>
      <c r="G196" s="84"/>
      <c r="H196" s="84"/>
      <c r="I196" s="84"/>
      <c r="J196" s="84"/>
      <c r="K196" s="84"/>
      <c r="L196" s="126"/>
      <c r="M196" s="126"/>
      <c r="N196" s="126"/>
      <c r="O196" s="130"/>
      <c r="P196" s="130"/>
      <c r="Q196" s="130"/>
      <c r="R196" s="130"/>
      <c r="S196" s="130"/>
      <c r="T196" s="131"/>
      <c r="U196" s="131"/>
    </row>
    <row r="198" spans="2:21" ht="15.75" x14ac:dyDescent="0.25">
      <c r="B198" s="76" t="s">
        <v>121</v>
      </c>
      <c r="C198" s="77">
        <v>42350</v>
      </c>
      <c r="D198" s="78" t="s">
        <v>129</v>
      </c>
      <c r="E198" s="79" t="s">
        <v>120</v>
      </c>
      <c r="F198" s="86" t="str">
        <f>MenLeagueGames!A10</f>
        <v>ML-07</v>
      </c>
      <c r="G198" s="86" t="str">
        <f>MenLeagueGames!B10</f>
        <v>2nd Round</v>
      </c>
      <c r="H198" s="86" t="str">
        <f>MenLeagueGames!C10</f>
        <v>FLEUR DE LYS TWISTEES</v>
      </c>
      <c r="I198" s="86" t="str">
        <f>MenLeagueGames!D10</f>
        <v>ALOYSIANS</v>
      </c>
      <c r="J198" s="86">
        <f>MenLeagueGames!E10</f>
        <v>1</v>
      </c>
      <c r="K198" s="86">
        <f>MenLeagueGames!F10</f>
        <v>3</v>
      </c>
      <c r="L198" s="132" t="s">
        <v>139</v>
      </c>
      <c r="M198" s="126"/>
      <c r="N198" s="126"/>
      <c r="O198" s="130"/>
      <c r="P198" s="130"/>
      <c r="Q198" s="130"/>
      <c r="R198" s="130"/>
      <c r="S198" s="130"/>
      <c r="T198" s="131"/>
      <c r="U198" s="131"/>
    </row>
    <row r="199" spans="2:21" ht="7.5" customHeight="1" x14ac:dyDescent="0.2">
      <c r="B199" s="80"/>
      <c r="C199" s="81"/>
      <c r="D199" s="82"/>
      <c r="E199" s="83"/>
      <c r="F199" s="84"/>
      <c r="G199" s="84"/>
      <c r="H199" s="84"/>
      <c r="I199" s="84"/>
      <c r="J199" s="84"/>
      <c r="K199" s="84"/>
      <c r="L199" s="126"/>
      <c r="M199" s="126"/>
      <c r="N199" s="126"/>
      <c r="O199" s="130"/>
      <c r="P199" s="130"/>
      <c r="Q199" s="130"/>
      <c r="R199" s="130"/>
      <c r="S199" s="130"/>
      <c r="T199" s="131"/>
      <c r="U199" s="131"/>
    </row>
    <row r="200" spans="2:21" x14ac:dyDescent="0.2">
      <c r="B200" s="76" t="s">
        <v>121</v>
      </c>
      <c r="C200" s="77">
        <v>42350</v>
      </c>
      <c r="D200" s="85" t="s">
        <v>130</v>
      </c>
      <c r="E200" s="79" t="s">
        <v>120</v>
      </c>
      <c r="F200" s="86" t="str">
        <f>WomenLeagueGames1stRound!A29</f>
        <v>WL-26</v>
      </c>
      <c r="G200" s="86" t="str">
        <f>WomenLeagueGames1stRound!B29</f>
        <v>1st Round</v>
      </c>
      <c r="H200" s="86" t="str">
        <f>WomenLeagueGames1stRound!C29</f>
        <v>SLIEMA WANDERERS</v>
      </c>
      <c r="I200" s="86" t="str">
        <f>WomenLeagueGames1stRound!D29</f>
        <v>PLAYVOLLEY GENERAL MEMBRANE</v>
      </c>
      <c r="J200" s="86">
        <f>WomenLeagueGames1stRound!E29</f>
        <v>3</v>
      </c>
      <c r="K200" s="86">
        <f>WomenLeagueGames1stRound!F29</f>
        <v>0</v>
      </c>
    </row>
    <row r="201" spans="2:21" ht="7.5" customHeight="1" x14ac:dyDescent="0.2">
      <c r="B201" s="80"/>
      <c r="C201" s="81"/>
      <c r="D201" s="82"/>
      <c r="E201" s="83"/>
      <c r="F201" s="84"/>
      <c r="G201" s="84"/>
      <c r="H201" s="84"/>
      <c r="I201" s="84"/>
      <c r="J201" s="84"/>
      <c r="K201" s="84"/>
      <c r="L201" s="126"/>
      <c r="M201" s="126"/>
      <c r="N201" s="126"/>
      <c r="O201" s="130"/>
      <c r="P201" s="130"/>
      <c r="Q201" s="130"/>
      <c r="R201" s="130"/>
      <c r="S201" s="130"/>
      <c r="T201" s="131"/>
      <c r="U201" s="131"/>
    </row>
    <row r="202" spans="2:21" ht="15.75" x14ac:dyDescent="0.25">
      <c r="B202" s="76" t="s">
        <v>144</v>
      </c>
      <c r="C202" s="77">
        <v>42350</v>
      </c>
      <c r="D202" s="85" t="s">
        <v>133</v>
      </c>
      <c r="E202" s="79" t="s">
        <v>120</v>
      </c>
      <c r="F202" s="86" t="str">
        <f>WomenLeagueGames1stRound!A31</f>
        <v>WL-28</v>
      </c>
      <c r="G202" s="86" t="str">
        <f>WomenLeagueGames1stRound!B31</f>
        <v>1st Round</v>
      </c>
      <c r="H202" s="86" t="str">
        <f>WomenLeagueGames1stRound!C31</f>
        <v>SWIEQI PHOENIX</v>
      </c>
      <c r="I202" s="86" t="str">
        <f>WomenLeagueGames1stRound!D31</f>
        <v>BIRKIRKARA</v>
      </c>
      <c r="J202" s="86">
        <f>WomenLeagueGames1stRound!E31</f>
        <v>3</v>
      </c>
      <c r="K202" s="86">
        <f>WomenLeagueGames1stRound!F31</f>
        <v>0</v>
      </c>
      <c r="L202" s="132" t="s">
        <v>139</v>
      </c>
    </row>
    <row r="203" spans="2:21" ht="7.5" customHeight="1" x14ac:dyDescent="0.2">
      <c r="B203" s="80"/>
      <c r="C203" s="81"/>
      <c r="D203" s="82"/>
      <c r="E203" s="83"/>
      <c r="F203" s="84"/>
      <c r="G203" s="84"/>
      <c r="H203" s="84"/>
      <c r="I203" s="84"/>
      <c r="J203" s="84"/>
      <c r="K203" s="84"/>
      <c r="L203" s="126"/>
      <c r="M203" s="126"/>
      <c r="N203" s="126"/>
      <c r="O203" s="130"/>
      <c r="P203" s="130"/>
      <c r="Q203" s="130"/>
      <c r="R203" s="130"/>
      <c r="S203" s="130"/>
      <c r="T203" s="131"/>
      <c r="U203" s="131"/>
    </row>
    <row r="205" spans="2:21" ht="15.75" x14ac:dyDescent="0.25">
      <c r="B205" s="76" t="s">
        <v>124</v>
      </c>
      <c r="C205" s="77">
        <v>42717</v>
      </c>
      <c r="D205" s="85" t="s">
        <v>382</v>
      </c>
      <c r="E205" s="79" t="s">
        <v>120</v>
      </c>
      <c r="F205" s="86" t="str">
        <f>WomenUnder14!A4</f>
        <v>WU14L-01</v>
      </c>
      <c r="G205" s="86" t="str">
        <f>WomenUnder14!B4</f>
        <v>1st Round</v>
      </c>
      <c r="H205" s="86" t="str">
        <f>WomenUnder14!C4</f>
        <v>SWIEQI PHOENIX</v>
      </c>
      <c r="I205" s="86" t="str">
        <f>WomenUnder14!D4</f>
        <v>PAOLA</v>
      </c>
      <c r="J205" s="86">
        <f>WomenUnder14!E4</f>
        <v>2</v>
      </c>
      <c r="K205" s="86">
        <f>WomenUnder14!F4</f>
        <v>0</v>
      </c>
      <c r="L205" s="132"/>
      <c r="M205" s="126"/>
      <c r="N205" s="126"/>
      <c r="O205" s="130"/>
      <c r="P205" s="130"/>
      <c r="Q205" s="130"/>
      <c r="R205" s="130"/>
      <c r="S205" s="130"/>
      <c r="T205" s="131"/>
      <c r="U205" s="131"/>
    </row>
    <row r="206" spans="2:21" ht="7.5" customHeight="1" x14ac:dyDescent="0.2">
      <c r="B206" s="80"/>
      <c r="C206" s="81"/>
      <c r="D206" s="82"/>
      <c r="E206" s="83"/>
      <c r="F206" s="84"/>
      <c r="G206" s="84"/>
      <c r="H206" s="84"/>
      <c r="I206" s="84"/>
      <c r="J206" s="84"/>
      <c r="K206" s="84"/>
      <c r="L206" s="126"/>
      <c r="M206" s="126"/>
      <c r="N206" s="126"/>
      <c r="O206" s="130"/>
      <c r="P206" s="130"/>
      <c r="Q206" s="130"/>
      <c r="R206" s="130"/>
      <c r="S206" s="130"/>
      <c r="T206" s="131"/>
      <c r="U206" s="131"/>
    </row>
    <row r="208" spans="2:21" ht="15.75" x14ac:dyDescent="0.25">
      <c r="B208" s="76" t="s">
        <v>127</v>
      </c>
      <c r="C208" s="77">
        <v>42353</v>
      </c>
      <c r="D208" s="85" t="s">
        <v>119</v>
      </c>
      <c r="E208" s="79" t="s">
        <v>120</v>
      </c>
      <c r="F208" s="86" t="str">
        <f>ChristmasCupWomen!A5</f>
        <v>CCL-02</v>
      </c>
      <c r="G208" s="86" t="str">
        <f>ChristmasCupWomen!B5</f>
        <v>1st Round</v>
      </c>
      <c r="H208" s="86" t="str">
        <f>ChristmasCupWomen!C5</f>
        <v>PAOLA</v>
      </c>
      <c r="I208" s="86" t="str">
        <f>ChristmasCupWomen!D5</f>
        <v>MELLIEHA</v>
      </c>
      <c r="J208" s="86">
        <f>ChristmasCupWomen!E5</f>
        <v>3</v>
      </c>
      <c r="K208" s="86">
        <f>ChristmasCupWomen!F5</f>
        <v>0</v>
      </c>
      <c r="L208" s="132" t="s">
        <v>367</v>
      </c>
    </row>
    <row r="209" spans="2:21" ht="7.5" customHeight="1" x14ac:dyDescent="0.2">
      <c r="B209" s="80"/>
      <c r="C209" s="81"/>
      <c r="D209" s="82"/>
      <c r="E209" s="83"/>
      <c r="F209" s="84"/>
      <c r="G209" s="84"/>
      <c r="H209" s="84"/>
      <c r="I209" s="84"/>
      <c r="J209" s="84"/>
      <c r="K209" s="84"/>
      <c r="L209" s="126"/>
      <c r="M209" s="126"/>
      <c r="N209" s="126"/>
      <c r="O209" s="130"/>
      <c r="P209" s="130"/>
      <c r="Q209" s="130"/>
      <c r="R209" s="130"/>
      <c r="S209" s="130"/>
      <c r="T209" s="131"/>
      <c r="U209" s="131"/>
    </row>
    <row r="211" spans="2:21" ht="15.75" x14ac:dyDescent="0.25">
      <c r="B211" s="76" t="s">
        <v>118</v>
      </c>
      <c r="C211" s="77">
        <v>42355</v>
      </c>
      <c r="D211" s="85" t="s">
        <v>119</v>
      </c>
      <c r="E211" s="79" t="s">
        <v>120</v>
      </c>
      <c r="F211" s="86" t="str">
        <f>ChristmasCupWomen!A4</f>
        <v>CCL-01</v>
      </c>
      <c r="G211" s="86" t="str">
        <f>ChristmasCupWomen!B4</f>
        <v>1st Round</v>
      </c>
      <c r="H211" s="86" t="str">
        <f>ChristmasCupWomen!C4</f>
        <v>MELLIEHA</v>
      </c>
      <c r="I211" s="86" t="str">
        <f>ChristmasCupWomen!D4</f>
        <v>FLEUR DE LYS TWISTEES</v>
      </c>
      <c r="J211" s="86">
        <f>ChristmasCupWomen!E4</f>
        <v>1</v>
      </c>
      <c r="K211" s="86">
        <f>ChristmasCupWomen!F4</f>
        <v>3</v>
      </c>
      <c r="L211" s="132" t="s">
        <v>367</v>
      </c>
    </row>
    <row r="212" spans="2:21" ht="7.5" customHeight="1" x14ac:dyDescent="0.2">
      <c r="B212" s="80"/>
      <c r="C212" s="81"/>
      <c r="D212" s="82"/>
      <c r="E212" s="83"/>
      <c r="F212" s="84"/>
      <c r="G212" s="84"/>
      <c r="H212" s="84"/>
      <c r="I212" s="84"/>
      <c r="J212" s="84"/>
      <c r="K212" s="84"/>
      <c r="L212" s="126"/>
      <c r="M212" s="126"/>
      <c r="N212" s="126"/>
      <c r="O212" s="130"/>
      <c r="P212" s="130"/>
      <c r="Q212" s="130"/>
      <c r="R212" s="130"/>
      <c r="S212" s="130"/>
      <c r="T212" s="131"/>
      <c r="U212" s="131"/>
    </row>
    <row r="214" spans="2:21" x14ac:dyDescent="0.2">
      <c r="B214" s="76" t="s">
        <v>121</v>
      </c>
      <c r="C214" s="77">
        <v>42357</v>
      </c>
      <c r="D214" s="78" t="s">
        <v>141</v>
      </c>
      <c r="E214" s="79" t="s">
        <v>120</v>
      </c>
      <c r="F214" s="86" t="str">
        <f>WomenLeagueGames1stRound!A21</f>
        <v>WL-18</v>
      </c>
      <c r="G214" s="86" t="str">
        <f>WomenLeagueGames1stRound!B21</f>
        <v>1st Round</v>
      </c>
      <c r="H214" s="86" t="str">
        <f>WomenLeagueGames1stRound!C21</f>
        <v>SLIEMA WANDERERS</v>
      </c>
      <c r="I214" s="86" t="str">
        <f>WomenLeagueGames1stRound!D21</f>
        <v>PAOLA</v>
      </c>
      <c r="J214" s="86">
        <f>WomenLeagueGames1stRound!E21</f>
        <v>1</v>
      </c>
      <c r="K214" s="86">
        <f>WomenLeagueGames1stRound!F21</f>
        <v>3</v>
      </c>
      <c r="L214" s="126"/>
      <c r="M214" s="126"/>
      <c r="N214" s="126"/>
      <c r="O214" s="130"/>
      <c r="P214" s="130"/>
      <c r="Q214" s="130"/>
      <c r="R214" s="130"/>
      <c r="S214" s="130"/>
      <c r="T214" s="131"/>
      <c r="U214" s="131"/>
    </row>
    <row r="215" spans="2:21" ht="7.5" customHeight="1" x14ac:dyDescent="0.2">
      <c r="B215" s="80"/>
      <c r="C215" s="81"/>
      <c r="D215" s="82"/>
      <c r="E215" s="83"/>
      <c r="F215" s="84"/>
      <c r="G215" s="84"/>
      <c r="H215" s="84"/>
      <c r="I215" s="84"/>
      <c r="J215" s="84"/>
      <c r="K215" s="84"/>
      <c r="L215" s="126"/>
      <c r="M215" s="126"/>
      <c r="N215" s="126"/>
      <c r="O215" s="130"/>
      <c r="P215" s="130"/>
      <c r="Q215" s="130"/>
      <c r="R215" s="130"/>
      <c r="S215" s="130"/>
      <c r="T215" s="131"/>
      <c r="U215" s="131"/>
    </row>
    <row r="216" spans="2:21" x14ac:dyDescent="0.2">
      <c r="B216" s="76" t="s">
        <v>121</v>
      </c>
      <c r="C216" s="77">
        <v>42357</v>
      </c>
      <c r="D216" s="78" t="s">
        <v>137</v>
      </c>
      <c r="E216" s="79" t="s">
        <v>120</v>
      </c>
      <c r="F216" s="86" t="str">
        <f>WomenLeagueGames1stRound!A34</f>
        <v>WL-31</v>
      </c>
      <c r="G216" s="86" t="str">
        <f>WomenLeagueGames1stRound!B34</f>
        <v>1st Round</v>
      </c>
      <c r="H216" s="86" t="str">
        <f>WomenLeagueGames1stRound!C34</f>
        <v>PLAYVOLLEY GENERAL MEMBRANE</v>
      </c>
      <c r="I216" s="86" t="str">
        <f>WomenLeagueGames1stRound!D34</f>
        <v>BALZAN FLYERS 2</v>
      </c>
      <c r="J216" s="86">
        <f>WomenLeagueGames1stRound!E34</f>
        <v>3</v>
      </c>
      <c r="K216" s="86">
        <f>WomenLeagueGames1stRound!F34</f>
        <v>0</v>
      </c>
      <c r="L216" s="126"/>
      <c r="M216" s="126"/>
      <c r="N216" s="126"/>
      <c r="O216" s="130"/>
      <c r="P216" s="130"/>
      <c r="Q216" s="130"/>
      <c r="R216" s="130"/>
      <c r="S216" s="130"/>
      <c r="T216" s="131"/>
      <c r="U216" s="131"/>
    </row>
    <row r="217" spans="2:21" ht="7.5" customHeight="1" x14ac:dyDescent="0.2">
      <c r="B217" s="80"/>
      <c r="C217" s="81"/>
      <c r="D217" s="82"/>
      <c r="E217" s="83"/>
      <c r="F217" s="84"/>
      <c r="G217" s="84"/>
      <c r="H217" s="84"/>
      <c r="I217" s="84"/>
      <c r="J217" s="84"/>
      <c r="K217" s="84"/>
      <c r="L217" s="126"/>
      <c r="M217" s="126"/>
      <c r="N217" s="126"/>
      <c r="O217" s="130"/>
      <c r="P217" s="130"/>
      <c r="Q217" s="130"/>
      <c r="R217" s="130"/>
      <c r="S217" s="130"/>
      <c r="T217" s="131"/>
      <c r="U217" s="131"/>
    </row>
    <row r="218" spans="2:21" x14ac:dyDescent="0.2">
      <c r="B218" s="76" t="s">
        <v>121</v>
      </c>
      <c r="C218" s="77">
        <v>42357</v>
      </c>
      <c r="D218" s="85" t="s">
        <v>138</v>
      </c>
      <c r="E218" s="79" t="s">
        <v>120</v>
      </c>
      <c r="F218" s="86" t="str">
        <f>WomenLeagueGames1stRound!A37</f>
        <v>WL-34</v>
      </c>
      <c r="G218" s="86" t="str">
        <f>WomenLeagueGames1stRound!B37</f>
        <v>1st Round</v>
      </c>
      <c r="H218" s="86" t="str">
        <f>WomenLeagueGames1stRound!C37</f>
        <v>BIRKIRKARA</v>
      </c>
      <c r="I218" s="86" t="str">
        <f>WomenLeagueGames1stRound!D37</f>
        <v>MELLIEHA TRITONES</v>
      </c>
      <c r="J218" s="86">
        <f>WomenLeagueGames1stRound!E37</f>
        <v>2</v>
      </c>
      <c r="K218" s="86">
        <f>WomenLeagueGames1stRound!F37</f>
        <v>3</v>
      </c>
    </row>
    <row r="219" spans="2:21" ht="7.5" customHeight="1" x14ac:dyDescent="0.2">
      <c r="B219" s="80"/>
      <c r="C219" s="81"/>
      <c r="D219" s="82"/>
      <c r="E219" s="83"/>
      <c r="F219" s="84"/>
      <c r="G219" s="84"/>
      <c r="H219" s="84"/>
      <c r="I219" s="84"/>
      <c r="J219" s="84"/>
      <c r="K219" s="84"/>
      <c r="L219" s="126"/>
      <c r="M219" s="126"/>
      <c r="N219" s="126"/>
      <c r="O219" s="130"/>
      <c r="P219" s="130"/>
      <c r="Q219" s="130"/>
      <c r="R219" s="130"/>
      <c r="S219" s="130"/>
      <c r="T219" s="131"/>
      <c r="U219" s="131"/>
    </row>
    <row r="221" spans="2:21" ht="15.75" x14ac:dyDescent="0.25">
      <c r="B221" s="76" t="s">
        <v>124</v>
      </c>
      <c r="C221" s="77">
        <v>42358</v>
      </c>
      <c r="D221" s="85" t="s">
        <v>135</v>
      </c>
      <c r="E221" s="79" t="s">
        <v>120</v>
      </c>
      <c r="F221" s="86" t="str">
        <f>WomenLeagueGames1stRound!A42</f>
        <v>WL-39</v>
      </c>
      <c r="G221" s="86" t="str">
        <f>WomenLeagueGames1stRound!B42</f>
        <v>1st Round</v>
      </c>
      <c r="H221" s="86" t="str">
        <f>WomenLeagueGames1stRound!C42</f>
        <v>PAOLA</v>
      </c>
      <c r="I221" s="86" t="str">
        <f>WomenLeagueGames1stRound!D42</f>
        <v>MGARR</v>
      </c>
      <c r="J221" s="86">
        <f>WomenLeagueGames1stRound!E42</f>
        <v>3</v>
      </c>
      <c r="K221" s="86">
        <f>WomenLeagueGames1stRound!F42</f>
        <v>0</v>
      </c>
      <c r="L221" s="132" t="s">
        <v>139</v>
      </c>
      <c r="M221" s="126"/>
      <c r="N221" s="126"/>
      <c r="O221" s="130"/>
      <c r="P221" s="130"/>
      <c r="Q221" s="130"/>
      <c r="R221" s="130"/>
      <c r="S221" s="130"/>
      <c r="T221" s="131"/>
      <c r="U221" s="131"/>
    </row>
    <row r="222" spans="2:21" ht="7.5" customHeight="1" x14ac:dyDescent="0.2">
      <c r="B222" s="80"/>
      <c r="C222" s="81"/>
      <c r="D222" s="82"/>
      <c r="E222" s="83"/>
      <c r="F222" s="84"/>
      <c r="G222" s="84"/>
      <c r="H222" s="84"/>
      <c r="I222" s="84"/>
      <c r="J222" s="84"/>
      <c r="K222" s="84"/>
      <c r="L222" s="126"/>
      <c r="M222" s="126"/>
      <c r="N222" s="126"/>
      <c r="O222" s="130"/>
      <c r="P222" s="130"/>
      <c r="Q222" s="130"/>
      <c r="R222" s="130"/>
      <c r="S222" s="130"/>
      <c r="T222" s="131"/>
      <c r="U222" s="131"/>
    </row>
    <row r="223" spans="2:21" ht="15.75" x14ac:dyDescent="0.25">
      <c r="B223" s="76" t="s">
        <v>124</v>
      </c>
      <c r="C223" s="77">
        <v>42358</v>
      </c>
      <c r="D223" s="85" t="s">
        <v>136</v>
      </c>
      <c r="E223" s="79" t="s">
        <v>120</v>
      </c>
      <c r="F223" s="86" t="str">
        <f>MenLeagueGames!A12</f>
        <v>ML-09</v>
      </c>
      <c r="G223" s="86" t="str">
        <f>MenLeagueGames!B12</f>
        <v>2nd Round</v>
      </c>
      <c r="H223" s="86" t="str">
        <f>MenLeagueGames!C12</f>
        <v>MGARR</v>
      </c>
      <c r="I223" s="86" t="str">
        <f>MenLeagueGames!D12</f>
        <v>FLEUR DE LYS TWISTEES</v>
      </c>
      <c r="J223" s="86">
        <f>MenLeagueGames!E12</f>
        <v>1</v>
      </c>
      <c r="K223" s="86">
        <f>MenLeagueGames!F12</f>
        <v>3</v>
      </c>
      <c r="L223" s="132" t="s">
        <v>139</v>
      </c>
    </row>
    <row r="224" spans="2:21" ht="7.5" customHeight="1" x14ac:dyDescent="0.2">
      <c r="B224" s="80"/>
      <c r="C224" s="81"/>
      <c r="D224" s="82"/>
      <c r="E224" s="83"/>
      <c r="F224" s="84"/>
      <c r="G224" s="84"/>
      <c r="H224" s="84"/>
      <c r="I224" s="84"/>
      <c r="J224" s="84"/>
      <c r="K224" s="84"/>
      <c r="L224" s="126"/>
      <c r="M224" s="126"/>
      <c r="N224" s="126"/>
      <c r="O224" s="130"/>
      <c r="P224" s="130"/>
      <c r="Q224" s="130"/>
      <c r="R224" s="130"/>
      <c r="S224" s="130"/>
      <c r="T224" s="131"/>
      <c r="U224" s="131"/>
    </row>
    <row r="225" spans="1:21" ht="15.75" x14ac:dyDescent="0.25">
      <c r="B225" s="76" t="s">
        <v>124</v>
      </c>
      <c r="C225" s="77">
        <v>42358</v>
      </c>
      <c r="D225" s="85" t="s">
        <v>129</v>
      </c>
      <c r="E225" s="79" t="s">
        <v>120</v>
      </c>
      <c r="F225" s="243" t="s">
        <v>145</v>
      </c>
      <c r="G225" s="244"/>
      <c r="H225" s="244"/>
      <c r="I225" s="244"/>
      <c r="J225" s="244"/>
      <c r="K225" s="245"/>
      <c r="L225" s="132"/>
      <c r="M225" s="126"/>
      <c r="N225" s="126"/>
      <c r="O225" s="130"/>
      <c r="P225" s="130"/>
      <c r="Q225" s="130"/>
      <c r="R225" s="130"/>
      <c r="S225" s="130"/>
      <c r="T225" s="131"/>
      <c r="U225" s="131"/>
    </row>
    <row r="226" spans="1:21" ht="7.5" customHeight="1" x14ac:dyDescent="0.2">
      <c r="B226" s="80"/>
      <c r="C226" s="81"/>
      <c r="D226" s="82"/>
      <c r="E226" s="83"/>
      <c r="F226" s="84"/>
      <c r="G226" s="84"/>
      <c r="H226" s="84"/>
      <c r="I226" s="84"/>
      <c r="J226" s="84"/>
      <c r="K226" s="84"/>
      <c r="L226" s="126"/>
      <c r="M226" s="126"/>
      <c r="N226" s="126"/>
      <c r="O226" s="130"/>
      <c r="P226" s="130"/>
      <c r="Q226" s="130"/>
      <c r="R226" s="130"/>
      <c r="S226" s="130"/>
      <c r="T226" s="131"/>
      <c r="U226" s="131"/>
    </row>
    <row r="228" spans="1:21" x14ac:dyDescent="0.2">
      <c r="B228" s="76" t="s">
        <v>121</v>
      </c>
      <c r="C228" s="77">
        <v>42364</v>
      </c>
      <c r="D228" s="85"/>
      <c r="E228" s="79"/>
      <c r="F228" s="246" t="s">
        <v>146</v>
      </c>
      <c r="G228" s="246"/>
      <c r="H228" s="246"/>
      <c r="I228" s="246"/>
      <c r="J228" s="246"/>
      <c r="K228" s="246"/>
      <c r="L228" s="126"/>
      <c r="M228" s="126"/>
      <c r="N228" s="126"/>
      <c r="O228" s="130"/>
      <c r="P228" s="130"/>
      <c r="Q228" s="130"/>
      <c r="R228" s="130"/>
      <c r="S228" s="130"/>
      <c r="T228" s="131"/>
      <c r="U228" s="131"/>
    </row>
    <row r="229" spans="1:21" ht="7.5" customHeight="1" x14ac:dyDescent="0.2">
      <c r="B229" s="80"/>
      <c r="C229" s="81"/>
      <c r="D229" s="82"/>
      <c r="E229" s="83"/>
      <c r="F229" s="84"/>
      <c r="G229" s="84"/>
      <c r="H229" s="84"/>
      <c r="I229" s="84"/>
      <c r="J229" s="84"/>
      <c r="K229" s="84"/>
      <c r="L229" s="126"/>
      <c r="M229" s="126"/>
      <c r="N229" s="126"/>
      <c r="O229" s="130"/>
      <c r="P229" s="130"/>
      <c r="Q229" s="130"/>
      <c r="R229" s="130"/>
      <c r="S229" s="130"/>
      <c r="T229" s="131"/>
      <c r="U229" s="131"/>
    </row>
    <row r="230" spans="1:21" x14ac:dyDescent="0.2">
      <c r="B230" s="9"/>
      <c r="C230" s="9"/>
      <c r="D230" s="71"/>
      <c r="E230" s="3"/>
      <c r="F230" s="9"/>
      <c r="G230" s="3"/>
      <c r="H230" s="3"/>
      <c r="I230" s="72"/>
      <c r="K230" s="73"/>
    </row>
    <row r="231" spans="1:21" x14ac:dyDescent="0.2">
      <c r="B231" s="76" t="s">
        <v>124</v>
      </c>
      <c r="C231" s="77">
        <v>42365</v>
      </c>
      <c r="D231" s="85"/>
      <c r="E231" s="79" t="s">
        <v>120</v>
      </c>
      <c r="F231" s="246" t="s">
        <v>147</v>
      </c>
      <c r="G231" s="246"/>
      <c r="H231" s="246"/>
      <c r="I231" s="246"/>
      <c r="J231" s="246"/>
      <c r="K231" s="246"/>
      <c r="L231" s="126"/>
      <c r="M231" s="126"/>
      <c r="N231" s="126"/>
      <c r="O231" s="130"/>
      <c r="P231" s="130"/>
      <c r="Q231" s="130"/>
      <c r="R231" s="130"/>
      <c r="S231" s="130"/>
      <c r="T231" s="131"/>
      <c r="U231" s="131"/>
    </row>
    <row r="232" spans="1:21" ht="7.5" customHeight="1" x14ac:dyDescent="0.2">
      <c r="B232" s="80"/>
      <c r="C232" s="81"/>
      <c r="D232" s="82"/>
      <c r="E232" s="83"/>
      <c r="F232" s="84"/>
      <c r="G232" s="84"/>
      <c r="H232" s="84"/>
      <c r="I232" s="84"/>
      <c r="J232" s="84"/>
      <c r="K232" s="84"/>
      <c r="L232" s="126"/>
      <c r="M232" s="126"/>
      <c r="N232" s="126"/>
      <c r="O232" s="130"/>
      <c r="P232" s="130"/>
      <c r="Q232" s="130"/>
      <c r="R232" s="130"/>
      <c r="S232" s="130"/>
      <c r="T232" s="131"/>
      <c r="U232" s="131"/>
    </row>
    <row r="233" spans="1:21" x14ac:dyDescent="0.2">
      <c r="B233" s="9"/>
      <c r="C233" s="9"/>
      <c r="D233" s="71"/>
      <c r="E233" s="3"/>
      <c r="F233" s="9"/>
      <c r="G233" s="3"/>
      <c r="H233" s="3"/>
      <c r="I233" s="72"/>
      <c r="K233" s="73"/>
    </row>
    <row r="234" spans="1:21" s="127" customFormat="1" ht="26.25" x14ac:dyDescent="0.4">
      <c r="A234" s="242" t="s">
        <v>148</v>
      </c>
      <c r="B234" s="242"/>
      <c r="C234" s="242"/>
      <c r="D234" s="242"/>
      <c r="E234" s="242"/>
      <c r="F234" s="242"/>
      <c r="G234" s="242"/>
      <c r="H234" s="242"/>
      <c r="I234" s="242"/>
      <c r="J234" s="242"/>
      <c r="K234" s="242"/>
      <c r="L234" s="126"/>
      <c r="M234" s="126"/>
      <c r="N234" s="126"/>
      <c r="O234" s="130"/>
      <c r="P234" s="130"/>
      <c r="Q234" s="130"/>
      <c r="R234" s="130"/>
      <c r="S234" s="130"/>
      <c r="T234" s="130"/>
      <c r="U234" s="130"/>
    </row>
    <row r="236" spans="1:21" x14ac:dyDescent="0.2">
      <c r="B236" s="76" t="s">
        <v>121</v>
      </c>
      <c r="C236" s="77">
        <v>42371</v>
      </c>
      <c r="D236" s="85"/>
      <c r="E236" s="79"/>
      <c r="F236" s="246" t="s">
        <v>146</v>
      </c>
      <c r="G236" s="246"/>
      <c r="H236" s="246"/>
      <c r="I236" s="246"/>
      <c r="J236" s="246"/>
      <c r="K236" s="246"/>
      <c r="L236" s="126"/>
      <c r="M236" s="126"/>
      <c r="N236" s="126"/>
      <c r="O236" s="130"/>
      <c r="P236" s="130"/>
      <c r="Q236" s="130"/>
      <c r="R236" s="130"/>
      <c r="S236" s="130"/>
      <c r="T236" s="131"/>
      <c r="U236" s="131"/>
    </row>
    <row r="237" spans="1:21" ht="7.5" customHeight="1" x14ac:dyDescent="0.2">
      <c r="B237" s="80"/>
      <c r="C237" s="81"/>
      <c r="D237" s="82"/>
      <c r="E237" s="83"/>
      <c r="F237" s="84"/>
      <c r="G237" s="84"/>
      <c r="H237" s="84"/>
      <c r="I237" s="84"/>
      <c r="J237" s="84"/>
      <c r="K237" s="84"/>
      <c r="L237" s="126"/>
      <c r="M237" s="126"/>
      <c r="N237" s="126"/>
      <c r="O237" s="130"/>
      <c r="P237" s="130"/>
      <c r="Q237" s="130"/>
      <c r="R237" s="130"/>
      <c r="S237" s="130"/>
      <c r="T237" s="131"/>
      <c r="U237" s="131"/>
    </row>
    <row r="238" spans="1:21" x14ac:dyDescent="0.2">
      <c r="B238" s="9"/>
      <c r="C238" s="9"/>
      <c r="D238" s="71"/>
      <c r="E238" s="3"/>
      <c r="F238" s="9"/>
      <c r="G238" s="3"/>
      <c r="H238" s="3"/>
      <c r="I238" s="72"/>
      <c r="K238" s="73"/>
    </row>
    <row r="239" spans="1:21" x14ac:dyDescent="0.2">
      <c r="B239" s="76" t="s">
        <v>124</v>
      </c>
      <c r="C239" s="77">
        <v>42372</v>
      </c>
      <c r="D239" s="85"/>
      <c r="E239" s="79"/>
      <c r="F239" s="246" t="s">
        <v>146</v>
      </c>
      <c r="G239" s="246"/>
      <c r="H239" s="246"/>
      <c r="I239" s="246"/>
      <c r="J239" s="246"/>
      <c r="K239" s="246"/>
      <c r="L239" s="126"/>
      <c r="M239" s="126"/>
      <c r="N239" s="126"/>
      <c r="O239" s="130"/>
      <c r="P239" s="130"/>
      <c r="Q239" s="130"/>
      <c r="R239" s="130"/>
      <c r="S239" s="130"/>
      <c r="T239" s="131"/>
      <c r="U239" s="131"/>
    </row>
    <row r="240" spans="1:21" ht="7.5" customHeight="1" x14ac:dyDescent="0.2">
      <c r="B240" s="80"/>
      <c r="C240" s="81"/>
      <c r="D240" s="82"/>
      <c r="E240" s="83"/>
      <c r="F240" s="84"/>
      <c r="G240" s="84"/>
      <c r="H240" s="84"/>
      <c r="I240" s="84"/>
      <c r="J240" s="84"/>
      <c r="K240" s="84"/>
      <c r="L240" s="126"/>
      <c r="M240" s="126"/>
      <c r="N240" s="126"/>
      <c r="O240" s="130"/>
      <c r="P240" s="130"/>
      <c r="Q240" s="130"/>
      <c r="R240" s="130"/>
      <c r="S240" s="130"/>
      <c r="T240" s="131"/>
      <c r="U240" s="131"/>
    </row>
    <row r="241" spans="2:21" x14ac:dyDescent="0.2">
      <c r="B241" s="9"/>
      <c r="C241" s="9"/>
      <c r="D241" s="71"/>
      <c r="E241" s="3"/>
      <c r="F241" s="9"/>
      <c r="G241" s="3"/>
      <c r="H241" s="3"/>
      <c r="I241" s="72"/>
      <c r="K241" s="73"/>
    </row>
    <row r="242" spans="2:21" ht="15.75" x14ac:dyDescent="0.25">
      <c r="B242" s="111" t="s">
        <v>121</v>
      </c>
      <c r="C242" s="112">
        <v>42378</v>
      </c>
      <c r="D242" s="113" t="s">
        <v>141</v>
      </c>
      <c r="E242" s="114" t="s">
        <v>120</v>
      </c>
      <c r="F242" s="115" t="str">
        <f>WomenUnder18!A11</f>
        <v>WU18L-08</v>
      </c>
      <c r="G242" s="115" t="str">
        <f>WomenUnder18!B11</f>
        <v>3rd Round</v>
      </c>
      <c r="H242" s="115" t="str">
        <f>WomenUnder18!C11</f>
        <v>BALZAN FLYERS CROSSCRAFT</v>
      </c>
      <c r="I242" s="115" t="str">
        <f>WomenUnder18!D11</f>
        <v>FLEUR DE LYS TWISTEES</v>
      </c>
      <c r="J242" s="115">
        <f>WomenUnder18!E11</f>
        <v>3</v>
      </c>
      <c r="K242" s="115">
        <f>WomenUnder18!F11</f>
        <v>0</v>
      </c>
      <c r="L242" s="132" t="s">
        <v>139</v>
      </c>
      <c r="M242" s="126"/>
      <c r="N242" s="126"/>
      <c r="O242" s="130"/>
      <c r="P242" s="130"/>
      <c r="Q242" s="130"/>
      <c r="R242" s="130"/>
      <c r="S242" s="130"/>
      <c r="T242" s="131"/>
      <c r="U242" s="131"/>
    </row>
    <row r="243" spans="2:21" ht="7.5" customHeight="1" x14ac:dyDescent="0.2">
      <c r="B243" s="116"/>
      <c r="C243" s="117"/>
      <c r="D243" s="118"/>
      <c r="E243" s="119"/>
      <c r="F243" s="120"/>
      <c r="G243" s="120"/>
      <c r="H243" s="120"/>
      <c r="I243" s="120"/>
      <c r="J243" s="120"/>
      <c r="K243" s="120"/>
      <c r="L243" s="126"/>
      <c r="M243" s="126"/>
      <c r="N243" s="126"/>
      <c r="O243" s="130"/>
      <c r="P243" s="130"/>
      <c r="Q243" s="130"/>
      <c r="R243" s="130"/>
      <c r="S243" s="130"/>
      <c r="T243" s="131"/>
      <c r="U243" s="131"/>
    </row>
    <row r="244" spans="2:21" ht="15.75" x14ac:dyDescent="0.25">
      <c r="B244" s="76" t="s">
        <v>121</v>
      </c>
      <c r="C244" s="77">
        <v>42378</v>
      </c>
      <c r="D244" s="78" t="s">
        <v>137</v>
      </c>
      <c r="E244" s="79" t="s">
        <v>120</v>
      </c>
      <c r="F244" s="138" t="str">
        <f>WomenLeagueGames1stRound!A42</f>
        <v>WL-39</v>
      </c>
      <c r="G244" s="86" t="str">
        <f>WomenLeagueGames1stRound!B42</f>
        <v>1st Round</v>
      </c>
      <c r="H244" s="86" t="str">
        <f>WomenLeagueGames1stRound!C42</f>
        <v>PAOLA</v>
      </c>
      <c r="I244" s="86" t="str">
        <f>WomenLeagueGames1stRound!D42</f>
        <v>MGARR</v>
      </c>
      <c r="J244" s="86">
        <f>WomenLeagueGames1stRound!E32</f>
        <v>3</v>
      </c>
      <c r="K244" s="86">
        <f>WomenLeagueGames1stRound!F32</f>
        <v>0</v>
      </c>
      <c r="L244" s="132" t="s">
        <v>139</v>
      </c>
      <c r="M244" s="126"/>
      <c r="N244" s="126"/>
      <c r="O244" s="130"/>
      <c r="P244" s="130"/>
      <c r="Q244" s="130"/>
      <c r="R244" s="130"/>
      <c r="S244" s="130"/>
      <c r="T244" s="131"/>
      <c r="U244" s="131"/>
    </row>
    <row r="245" spans="2:21" ht="7.5" customHeight="1" x14ac:dyDescent="0.2">
      <c r="B245" s="80"/>
      <c r="C245" s="81"/>
      <c r="D245" s="82"/>
      <c r="E245" s="83"/>
      <c r="F245" s="84"/>
      <c r="G245" s="84"/>
      <c r="H245" s="84"/>
      <c r="I245" s="84"/>
      <c r="J245" s="84"/>
      <c r="K245" s="84"/>
      <c r="L245" s="126"/>
      <c r="M245" s="126"/>
      <c r="N245" s="126"/>
      <c r="O245" s="130"/>
      <c r="P245" s="130"/>
      <c r="Q245" s="130"/>
      <c r="R245" s="130"/>
      <c r="S245" s="130"/>
      <c r="T245" s="131"/>
      <c r="U245" s="131"/>
    </row>
    <row r="246" spans="2:21" ht="15.75" x14ac:dyDescent="0.25">
      <c r="B246" s="76" t="s">
        <v>121</v>
      </c>
      <c r="C246" s="77">
        <v>42378</v>
      </c>
      <c r="D246" s="85" t="s">
        <v>138</v>
      </c>
      <c r="E246" s="79" t="s">
        <v>120</v>
      </c>
      <c r="F246" s="86" t="str">
        <f>MenLeagueGames!A13</f>
        <v>ML-10</v>
      </c>
      <c r="G246" s="86" t="str">
        <f>MenLeagueGames!B13</f>
        <v>2nd Round</v>
      </c>
      <c r="H246" s="86" t="str">
        <f>MenLeagueGames!C13</f>
        <v>ALOYSIANS</v>
      </c>
      <c r="I246" s="86" t="str">
        <f>MenLeagueGames!D13</f>
        <v>VALLETTA MAPEI</v>
      </c>
      <c r="J246" s="86">
        <f>MenLeagueGames!E13</f>
        <v>1</v>
      </c>
      <c r="K246" s="86">
        <f>MenLeagueGames!F13</f>
        <v>3</v>
      </c>
      <c r="L246" s="132" t="s">
        <v>139</v>
      </c>
    </row>
    <row r="247" spans="2:21" ht="7.5" customHeight="1" x14ac:dyDescent="0.2">
      <c r="B247" s="80"/>
      <c r="C247" s="81"/>
      <c r="D247" s="82"/>
      <c r="E247" s="83"/>
      <c r="F247" s="84"/>
      <c r="G247" s="84"/>
      <c r="H247" s="84"/>
      <c r="I247" s="84"/>
      <c r="J247" s="84"/>
      <c r="K247" s="84"/>
      <c r="L247" s="126"/>
      <c r="M247" s="126"/>
      <c r="N247" s="126"/>
      <c r="O247" s="130"/>
      <c r="P247" s="130"/>
      <c r="Q247" s="130"/>
      <c r="R247" s="130"/>
      <c r="S247" s="130"/>
      <c r="T247" s="131"/>
      <c r="U247" s="131"/>
    </row>
    <row r="249" spans="2:21" x14ac:dyDescent="0.2">
      <c r="B249" s="76" t="s">
        <v>121</v>
      </c>
      <c r="C249" s="77">
        <v>42378</v>
      </c>
      <c r="D249" s="78" t="s">
        <v>141</v>
      </c>
      <c r="E249" s="79" t="s">
        <v>120</v>
      </c>
      <c r="F249" s="86" t="str">
        <f>ChristmasCupWomen!A7</f>
        <v>CCL-04</v>
      </c>
      <c r="G249" s="86" t="str">
        <f>ChristmasCupWomen!B7</f>
        <v>Final</v>
      </c>
      <c r="H249" s="86" t="str">
        <f>ChristmasCupWomen!C7</f>
        <v>PAOLA</v>
      </c>
      <c r="I249" s="86" t="str">
        <f>ChristmasCupWomen!D7</f>
        <v>FLEUR DE LYS TWISTEES</v>
      </c>
      <c r="J249" s="86">
        <f>ChristmasCupWomen!E7</f>
        <v>3</v>
      </c>
      <c r="K249" s="86">
        <f>ChristmasCupWomen!F7</f>
        <v>1</v>
      </c>
      <c r="M249" s="126"/>
      <c r="N249" s="126"/>
      <c r="O249" s="130"/>
      <c r="P249" s="130"/>
      <c r="Q249" s="130"/>
      <c r="R249" s="130"/>
      <c r="S249" s="130"/>
      <c r="T249" s="131"/>
      <c r="U249" s="131"/>
    </row>
    <row r="250" spans="2:21" ht="7.5" customHeight="1" x14ac:dyDescent="0.2"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126"/>
      <c r="M250" s="126"/>
      <c r="N250" s="126"/>
      <c r="O250" s="130"/>
      <c r="P250" s="130"/>
      <c r="Q250" s="130"/>
      <c r="R250" s="130"/>
      <c r="S250" s="130"/>
      <c r="T250" s="131"/>
      <c r="U250" s="131"/>
    </row>
    <row r="251" spans="2:21" ht="15.75" x14ac:dyDescent="0.25">
      <c r="B251" s="76" t="s">
        <v>121</v>
      </c>
      <c r="C251" s="77">
        <v>42378</v>
      </c>
      <c r="D251" s="78" t="s">
        <v>137</v>
      </c>
      <c r="E251" s="79" t="s">
        <v>120</v>
      </c>
      <c r="F251" s="86" t="str">
        <f>ChristmasCupMen!A6</f>
        <v>CCM-03</v>
      </c>
      <c r="G251" s="86" t="str">
        <f>ChristmasCupMen!B6</f>
        <v>Final 3/4</v>
      </c>
      <c r="H251" s="86" t="str">
        <f>ChristmasCupMen!C6</f>
        <v>ALOYSIANS</v>
      </c>
      <c r="I251" s="86" t="str">
        <f>ChristmasCupMen!D6</f>
        <v>MGARR</v>
      </c>
      <c r="J251" s="86">
        <f>ChristmasCupMen!E6</f>
        <v>3</v>
      </c>
      <c r="K251" s="86">
        <f>ChristmasCupMen!F6</f>
        <v>0</v>
      </c>
      <c r="L251" s="132"/>
      <c r="M251" s="126"/>
      <c r="N251" s="126"/>
      <c r="O251" s="130"/>
      <c r="P251" s="130"/>
      <c r="Q251" s="130"/>
      <c r="R251" s="130"/>
      <c r="S251" s="130"/>
      <c r="T251" s="131"/>
      <c r="U251" s="131"/>
    </row>
    <row r="252" spans="2:21" ht="7.5" customHeight="1" x14ac:dyDescent="0.2">
      <c r="B252" s="80"/>
      <c r="C252" s="81"/>
      <c r="D252" s="82"/>
      <c r="E252" s="83"/>
      <c r="F252" s="84"/>
      <c r="G252" s="84"/>
      <c r="H252" s="84"/>
      <c r="I252" s="84"/>
      <c r="J252" s="84"/>
      <c r="K252" s="84"/>
      <c r="L252" s="126"/>
      <c r="M252" s="126"/>
      <c r="N252" s="126"/>
      <c r="O252" s="130"/>
      <c r="P252" s="130"/>
      <c r="Q252" s="130"/>
      <c r="R252" s="130"/>
      <c r="S252" s="130"/>
      <c r="T252" s="131"/>
      <c r="U252" s="131"/>
    </row>
    <row r="253" spans="2:21" ht="15.75" x14ac:dyDescent="0.25">
      <c r="B253" s="76" t="s">
        <v>121</v>
      </c>
      <c r="C253" s="77">
        <v>42378</v>
      </c>
      <c r="D253" s="85" t="s">
        <v>138</v>
      </c>
      <c r="E253" s="79" t="s">
        <v>120</v>
      </c>
      <c r="F253" s="86" t="str">
        <f>ChristmasCupMen!A7</f>
        <v>CCM-04</v>
      </c>
      <c r="G253" s="86" t="str">
        <f>ChristmasCupMen!B7</f>
        <v>Final 1/2</v>
      </c>
      <c r="H253" s="86" t="str">
        <f>ChristmasCupMen!C7</f>
        <v>VALLETTA MAPEI</v>
      </c>
      <c r="I253" s="86" t="str">
        <f>ChristmasCupMen!D7</f>
        <v>FLEUR DE LYS TWISTEES</v>
      </c>
      <c r="J253" s="86">
        <f>ChristmasCupMen!E7</f>
        <v>1</v>
      </c>
      <c r="K253" s="86">
        <f>ChristmasCupMen!F7</f>
        <v>3</v>
      </c>
      <c r="L253" s="132"/>
    </row>
    <row r="254" spans="2:21" ht="7.5" customHeight="1" x14ac:dyDescent="0.2">
      <c r="B254" s="80"/>
      <c r="C254" s="81"/>
      <c r="D254" s="82"/>
      <c r="E254" s="83"/>
      <c r="F254" s="84"/>
      <c r="G254" s="84"/>
      <c r="H254" s="84"/>
      <c r="I254" s="84"/>
      <c r="J254" s="84"/>
      <c r="K254" s="84"/>
      <c r="L254" s="126"/>
      <c r="M254" s="126"/>
      <c r="N254" s="126"/>
      <c r="O254" s="130"/>
      <c r="P254" s="130"/>
      <c r="Q254" s="130"/>
      <c r="R254" s="130"/>
      <c r="S254" s="130"/>
      <c r="T254" s="131"/>
      <c r="U254" s="131"/>
    </row>
    <row r="256" spans="2:21" x14ac:dyDescent="0.2">
      <c r="B256" s="111" t="s">
        <v>124</v>
      </c>
      <c r="C256" s="112">
        <v>42379</v>
      </c>
      <c r="D256" s="121" t="s">
        <v>140</v>
      </c>
      <c r="E256" s="114" t="s">
        <v>120</v>
      </c>
      <c r="F256" s="115" t="str">
        <f>WomenUnder16!A12</f>
        <v>WU16L-09</v>
      </c>
      <c r="G256" s="115" t="str">
        <f>WomenUnder16!B12</f>
        <v>2nd Round</v>
      </c>
      <c r="H256" s="115" t="str">
        <f>WomenUnder16!C12</f>
        <v>FLEUR DE LYS TWISTEES</v>
      </c>
      <c r="I256" s="115" t="str">
        <f>WomenUnder16!D12</f>
        <v>PAOLA</v>
      </c>
      <c r="J256" s="115">
        <f>WomenUnder16!E12</f>
        <v>3</v>
      </c>
      <c r="K256" s="115">
        <f>WomenUnder16!F12</f>
        <v>2</v>
      </c>
      <c r="L256" s="126"/>
      <c r="M256" s="126"/>
      <c r="N256" s="126"/>
      <c r="O256" s="130"/>
      <c r="P256" s="130"/>
      <c r="Q256" s="130"/>
      <c r="R256" s="130"/>
      <c r="S256" s="130"/>
      <c r="T256" s="131"/>
      <c r="U256" s="131"/>
    </row>
    <row r="257" spans="2:21" ht="7.5" customHeight="1" x14ac:dyDescent="0.2">
      <c r="B257" s="116"/>
      <c r="C257" s="117"/>
      <c r="D257" s="118"/>
      <c r="E257" s="119"/>
      <c r="F257" s="120"/>
      <c r="G257" s="120"/>
      <c r="H257" s="120"/>
      <c r="I257" s="120"/>
      <c r="J257" s="120"/>
      <c r="K257" s="120"/>
      <c r="L257" s="126"/>
      <c r="M257" s="126"/>
      <c r="N257" s="126"/>
      <c r="O257" s="130"/>
      <c r="P257" s="130"/>
      <c r="Q257" s="130"/>
      <c r="R257" s="130"/>
      <c r="S257" s="130"/>
      <c r="T257" s="131"/>
      <c r="U257" s="131"/>
    </row>
    <row r="258" spans="2:21" x14ac:dyDescent="0.2">
      <c r="B258" s="111" t="s">
        <v>124</v>
      </c>
      <c r="C258" s="112">
        <v>42379</v>
      </c>
      <c r="D258" s="121" t="s">
        <v>140</v>
      </c>
      <c r="E258" s="114" t="s">
        <v>120</v>
      </c>
      <c r="F258" s="115" t="str">
        <f>WomenUnder16!A13</f>
        <v>WU16L-10</v>
      </c>
      <c r="G258" s="115" t="str">
        <f>WomenUnder16!B13</f>
        <v>2nd Round</v>
      </c>
      <c r="H258" s="115" t="str">
        <f>WomenUnder16!C13</f>
        <v>BALZAN FLYERS CROSSCRAFT</v>
      </c>
      <c r="I258" s="115" t="str">
        <f>WomenUnder16!D13</f>
        <v>SWIEQI PHOENIX</v>
      </c>
      <c r="J258" s="115">
        <f>WomenUnder16!E13</f>
        <v>0</v>
      </c>
      <c r="K258" s="115">
        <f>WomenUnder16!F13</f>
        <v>3</v>
      </c>
      <c r="L258" s="126"/>
      <c r="M258" s="126"/>
      <c r="N258" s="126"/>
      <c r="O258" s="130"/>
      <c r="P258" s="130"/>
      <c r="Q258" s="130"/>
      <c r="R258" s="130"/>
      <c r="S258" s="130"/>
      <c r="T258" s="131"/>
      <c r="U258" s="131"/>
    </row>
    <row r="259" spans="2:21" ht="7.5" customHeight="1" x14ac:dyDescent="0.2">
      <c r="B259" s="116"/>
      <c r="C259" s="117"/>
      <c r="D259" s="118"/>
      <c r="E259" s="119"/>
      <c r="F259" s="120"/>
      <c r="G259" s="120"/>
      <c r="H259" s="120"/>
      <c r="I259" s="120"/>
      <c r="J259" s="120"/>
      <c r="K259" s="120"/>
      <c r="L259" s="126"/>
      <c r="M259" s="126"/>
      <c r="N259" s="126"/>
      <c r="O259" s="130"/>
      <c r="P259" s="130"/>
      <c r="Q259" s="130"/>
      <c r="R259" s="130"/>
      <c r="S259" s="130"/>
      <c r="T259" s="131"/>
      <c r="U259" s="131"/>
    </row>
    <row r="260" spans="2:21" x14ac:dyDescent="0.2">
      <c r="B260" s="76" t="s">
        <v>124</v>
      </c>
      <c r="C260" s="77">
        <v>42379</v>
      </c>
      <c r="D260" s="85" t="s">
        <v>129</v>
      </c>
      <c r="E260" s="79" t="s">
        <v>120</v>
      </c>
      <c r="F260" s="86" t="str">
        <f>WomenLeagueGames1stRound!A41</f>
        <v>WL-38</v>
      </c>
      <c r="G260" s="86" t="str">
        <f>WomenLeagueGames1stRound!B41</f>
        <v>1st Round</v>
      </c>
      <c r="H260" s="86" t="str">
        <f>WomenLeagueGames1stRound!C41</f>
        <v>MELLIEHA TRITONES</v>
      </c>
      <c r="I260" s="86" t="str">
        <f>WomenLeagueGames1stRound!D41</f>
        <v>SLIEMA WANDERERS</v>
      </c>
      <c r="J260" s="86">
        <f>WomenLeagueGames1stRound!E41</f>
        <v>1</v>
      </c>
      <c r="K260" s="86">
        <f>WomenLeagueGames1stRound!F41</f>
        <v>3</v>
      </c>
      <c r="L260" s="126"/>
      <c r="M260" s="126"/>
      <c r="N260" s="126"/>
      <c r="O260" s="130"/>
      <c r="P260" s="130"/>
      <c r="Q260" s="130"/>
      <c r="R260" s="130"/>
      <c r="S260" s="130"/>
      <c r="T260" s="131"/>
      <c r="U260" s="131"/>
    </row>
    <row r="261" spans="2:21" ht="7.5" customHeight="1" x14ac:dyDescent="0.2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126"/>
      <c r="M261" s="126"/>
      <c r="N261" s="126"/>
      <c r="O261" s="130"/>
      <c r="P261" s="130"/>
      <c r="Q261" s="130"/>
      <c r="R261" s="130"/>
      <c r="S261" s="130"/>
      <c r="T261" s="131"/>
      <c r="U261" s="131"/>
    </row>
    <row r="262" spans="2:21" x14ac:dyDescent="0.2">
      <c r="B262" s="76" t="s">
        <v>124</v>
      </c>
      <c r="C262" s="77">
        <v>42379</v>
      </c>
      <c r="D262" s="76" t="s">
        <v>130</v>
      </c>
      <c r="E262" s="79" t="s">
        <v>120</v>
      </c>
      <c r="F262" s="76"/>
      <c r="G262" s="76"/>
      <c r="H262" s="76"/>
      <c r="I262" s="76"/>
      <c r="J262" s="86">
        <f>WomenLeagueGames1stRound!E39</f>
        <v>0</v>
      </c>
      <c r="K262" s="86">
        <f>WomenLeagueGames1stRound!F39</f>
        <v>3</v>
      </c>
      <c r="L262" s="126"/>
      <c r="M262" s="126"/>
      <c r="N262" s="126"/>
      <c r="O262" s="130"/>
      <c r="P262" s="130"/>
      <c r="Q262" s="130"/>
      <c r="R262" s="130"/>
      <c r="S262" s="130"/>
      <c r="T262" s="131"/>
      <c r="U262" s="131"/>
    </row>
    <row r="263" spans="2:21" ht="7.5" customHeight="1" x14ac:dyDescent="0.2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126"/>
      <c r="M263" s="126"/>
      <c r="N263" s="126"/>
      <c r="O263" s="130"/>
      <c r="P263" s="130"/>
      <c r="Q263" s="130"/>
      <c r="R263" s="130"/>
      <c r="S263" s="130"/>
      <c r="T263" s="131"/>
      <c r="U263" s="131"/>
    </row>
    <row r="264" spans="2:21" x14ac:dyDescent="0.2">
      <c r="B264" s="76" t="s">
        <v>124</v>
      </c>
      <c r="C264" s="77">
        <v>42379</v>
      </c>
      <c r="D264" s="85" t="s">
        <v>133</v>
      </c>
      <c r="E264" s="79" t="s">
        <v>120</v>
      </c>
      <c r="F264" s="86" t="str">
        <f>WomenLeagueGames1stRound!A7</f>
        <v>WL-04</v>
      </c>
      <c r="G264" s="86" t="str">
        <f>WomenLeagueGames1stRound!B7</f>
        <v>1st Round</v>
      </c>
      <c r="H264" s="86" t="str">
        <f>WomenLeagueGames1stRound!C7</f>
        <v>BALZAN FLYERS 2</v>
      </c>
      <c r="I264" s="86" t="str">
        <f>WomenLeagueGames1stRound!D7</f>
        <v>BIRKIRKARA</v>
      </c>
      <c r="J264" s="86">
        <f>WomenLeagueGames1stRound!E7</f>
        <v>3</v>
      </c>
      <c r="K264" s="86">
        <f>WomenLeagueGames1stRound!F7</f>
        <v>0</v>
      </c>
    </row>
    <row r="265" spans="2:21" ht="7.5" customHeight="1" x14ac:dyDescent="0.2">
      <c r="B265" s="80"/>
      <c r="C265" s="81"/>
      <c r="D265" s="82"/>
      <c r="E265" s="83"/>
      <c r="F265" s="84"/>
      <c r="G265" s="84"/>
      <c r="H265" s="84"/>
      <c r="I265" s="84"/>
      <c r="J265" s="84"/>
      <c r="K265" s="84"/>
      <c r="L265" s="126"/>
      <c r="M265" s="126"/>
      <c r="N265" s="126"/>
      <c r="O265" s="130"/>
      <c r="P265" s="130"/>
      <c r="Q265" s="130"/>
      <c r="R265" s="130"/>
      <c r="S265" s="130"/>
      <c r="T265" s="131"/>
      <c r="U265" s="131"/>
    </row>
    <row r="267" spans="2:21" x14ac:dyDescent="0.2">
      <c r="B267" s="111" t="s">
        <v>121</v>
      </c>
      <c r="C267" s="151">
        <v>42385</v>
      </c>
      <c r="D267" s="152" t="s">
        <v>141</v>
      </c>
      <c r="E267" s="150" t="s">
        <v>120</v>
      </c>
      <c r="F267" s="115" t="str">
        <f>WomenUnder18!A11</f>
        <v>WU18L-08</v>
      </c>
      <c r="G267" s="115" t="str">
        <f>WomenUnder18!B11</f>
        <v>3rd Round</v>
      </c>
      <c r="H267" s="115" t="str">
        <f>WomenUnder18!C11</f>
        <v>BALZAN FLYERS CROSSCRAFT</v>
      </c>
      <c r="I267" s="115" t="str">
        <f>WomenUnder18!D11</f>
        <v>FLEUR DE LYS TWISTEES</v>
      </c>
      <c r="J267" s="115">
        <f>WomenUnder18!E11</f>
        <v>3</v>
      </c>
      <c r="K267" s="115">
        <f>WomenUnder18!F11</f>
        <v>0</v>
      </c>
      <c r="L267" s="126"/>
      <c r="M267" s="126"/>
      <c r="N267" s="126"/>
      <c r="O267" s="130"/>
      <c r="P267" s="130"/>
      <c r="Q267" s="130"/>
      <c r="R267" s="130"/>
      <c r="S267" s="130"/>
      <c r="T267" s="131"/>
      <c r="U267" s="131"/>
    </row>
    <row r="268" spans="2:21" ht="7.5" customHeight="1" x14ac:dyDescent="0.2">
      <c r="B268" s="116"/>
      <c r="C268" s="117"/>
      <c r="D268" s="118"/>
      <c r="E268" s="119"/>
      <c r="F268" s="120"/>
      <c r="G268" s="120"/>
      <c r="H268" s="120"/>
      <c r="I268" s="120"/>
      <c r="J268" s="120"/>
      <c r="K268" s="120"/>
      <c r="L268" s="126"/>
      <c r="M268" s="126"/>
      <c r="N268" s="126"/>
      <c r="O268" s="130"/>
      <c r="P268" s="130"/>
      <c r="Q268" s="130"/>
      <c r="R268" s="130"/>
      <c r="S268" s="130"/>
      <c r="T268" s="131"/>
      <c r="U268" s="131"/>
    </row>
    <row r="269" spans="2:21" x14ac:dyDescent="0.2">
      <c r="B269" s="76" t="s">
        <v>121</v>
      </c>
      <c r="C269" s="77">
        <v>42385</v>
      </c>
      <c r="D269" s="78" t="s">
        <v>137</v>
      </c>
      <c r="E269" s="79" t="s">
        <v>120</v>
      </c>
      <c r="F269" s="86" t="str">
        <f>WomenLeagueGames1stRound!A45</f>
        <v>WL-42</v>
      </c>
      <c r="G269" s="86" t="str">
        <f>WomenLeagueGames1stRound!B45</f>
        <v>1st Round</v>
      </c>
      <c r="H269" s="86" t="str">
        <f>WomenLeagueGames1stRound!C45</f>
        <v>SWIEQI PHOENIX</v>
      </c>
      <c r="I269" s="86" t="str">
        <f>WomenLeagueGames1stRound!D45</f>
        <v>MELLIEHA TRITONES</v>
      </c>
      <c r="J269" s="86">
        <f>WomenLeagueGames1stRound!E45</f>
        <v>1</v>
      </c>
      <c r="K269" s="86">
        <f>WomenLeagueGames1stRound!F45</f>
        <v>3</v>
      </c>
      <c r="L269" s="126"/>
      <c r="M269" s="126"/>
      <c r="N269" s="126"/>
      <c r="O269" s="130"/>
      <c r="P269" s="130"/>
      <c r="Q269" s="130"/>
      <c r="R269" s="130"/>
      <c r="S269" s="130"/>
      <c r="T269" s="131"/>
      <c r="U269" s="131"/>
    </row>
    <row r="270" spans="2:21" ht="7.5" customHeight="1" x14ac:dyDescent="0.2">
      <c r="B270" s="80"/>
      <c r="C270" s="81"/>
      <c r="D270" s="82"/>
      <c r="E270" s="83"/>
      <c r="F270" s="84"/>
      <c r="G270" s="84"/>
      <c r="H270" s="84"/>
      <c r="I270" s="84"/>
      <c r="J270" s="84"/>
      <c r="K270" s="84"/>
      <c r="L270" s="126"/>
      <c r="M270" s="126"/>
      <c r="N270" s="126"/>
      <c r="O270" s="130"/>
      <c r="P270" s="130"/>
      <c r="Q270" s="130"/>
      <c r="R270" s="130"/>
      <c r="S270" s="130"/>
      <c r="T270" s="131"/>
      <c r="U270" s="131"/>
    </row>
    <row r="271" spans="2:21" x14ac:dyDescent="0.2">
      <c r="B271" s="76" t="s">
        <v>121</v>
      </c>
      <c r="C271" s="77">
        <v>42385</v>
      </c>
      <c r="D271" s="85" t="s">
        <v>138</v>
      </c>
      <c r="E271" s="79" t="s">
        <v>120</v>
      </c>
      <c r="F271" s="86" t="str">
        <f>WomenLeagueGames1stRound!A36</f>
        <v>WL-33</v>
      </c>
      <c r="G271" s="86" t="str">
        <f>WomenLeagueGames1stRound!B36</f>
        <v>1st Round</v>
      </c>
      <c r="H271" s="86" t="str">
        <f>WomenLeagueGames1stRound!C36</f>
        <v>MGARR</v>
      </c>
      <c r="I271" s="86" t="str">
        <f>WomenLeagueGames1stRound!D36</f>
        <v>BALZAN FLYERS</v>
      </c>
      <c r="J271" s="86">
        <f>WomenLeagueGames1stRound!E36</f>
        <v>0</v>
      </c>
      <c r="K271" s="86">
        <f>WomenLeagueGames1stRound!F36</f>
        <v>3</v>
      </c>
    </row>
    <row r="272" spans="2:21" ht="7.5" customHeight="1" x14ac:dyDescent="0.2">
      <c r="B272" s="80"/>
      <c r="C272" s="81"/>
      <c r="D272" s="82"/>
      <c r="E272" s="83"/>
      <c r="F272" s="84"/>
      <c r="G272" s="84"/>
      <c r="H272" s="84"/>
      <c r="I272" s="84"/>
      <c r="J272" s="84"/>
      <c r="K272" s="84"/>
      <c r="L272" s="126"/>
      <c r="M272" s="126"/>
      <c r="N272" s="126"/>
      <c r="O272" s="130"/>
      <c r="P272" s="130"/>
      <c r="Q272" s="130"/>
      <c r="R272" s="130"/>
      <c r="S272" s="130"/>
      <c r="T272" s="131"/>
      <c r="U272" s="131"/>
    </row>
    <row r="274" spans="2:21" x14ac:dyDescent="0.2">
      <c r="B274" s="111" t="s">
        <v>124</v>
      </c>
      <c r="C274" s="112">
        <v>42386</v>
      </c>
      <c r="D274" s="121" t="s">
        <v>154</v>
      </c>
      <c r="E274" s="114" t="s">
        <v>120</v>
      </c>
      <c r="F274" s="115" t="str">
        <f>WomenUnder16!A14</f>
        <v>WU16L-11</v>
      </c>
      <c r="G274" s="115" t="str">
        <f>WomenUnder16!B14</f>
        <v>2nd Round</v>
      </c>
      <c r="H274" s="115" t="str">
        <f>WomenUnder16!C14</f>
        <v>PAOLA</v>
      </c>
      <c r="I274" s="115" t="str">
        <f>WomenUnder16!D14</f>
        <v>SWIEQI PHOENIX</v>
      </c>
      <c r="J274" s="115">
        <f>WomenUnder16!E14</f>
        <v>0</v>
      </c>
      <c r="K274" s="115">
        <f>WomenUnder16!F14</f>
        <v>3</v>
      </c>
      <c r="L274" s="126"/>
      <c r="M274" s="126"/>
      <c r="N274" s="126"/>
      <c r="O274" s="130"/>
      <c r="P274" s="130"/>
      <c r="Q274" s="130"/>
      <c r="R274" s="130"/>
      <c r="S274" s="130"/>
      <c r="T274" s="131"/>
      <c r="U274" s="131"/>
    </row>
    <row r="275" spans="2:21" ht="7.5" customHeight="1" x14ac:dyDescent="0.2">
      <c r="B275" s="116"/>
      <c r="C275" s="117"/>
      <c r="D275" s="118"/>
      <c r="E275" s="119"/>
      <c r="F275" s="120"/>
      <c r="G275" s="120"/>
      <c r="H275" s="120"/>
      <c r="I275" s="120"/>
      <c r="J275" s="120"/>
      <c r="K275" s="120"/>
      <c r="L275" s="126"/>
      <c r="M275" s="126"/>
      <c r="N275" s="126"/>
      <c r="O275" s="130"/>
      <c r="P275" s="130"/>
      <c r="Q275" s="130"/>
      <c r="R275" s="130"/>
      <c r="S275" s="130"/>
      <c r="T275" s="131"/>
      <c r="U275" s="131"/>
    </row>
    <row r="276" spans="2:21" x14ac:dyDescent="0.2">
      <c r="B276" s="111" t="s">
        <v>124</v>
      </c>
      <c r="C276" s="112">
        <v>42386</v>
      </c>
      <c r="D276" s="121" t="s">
        <v>154</v>
      </c>
      <c r="E276" s="114" t="s">
        <v>120</v>
      </c>
      <c r="F276" s="115" t="str">
        <f>WomenUnder16!A15</f>
        <v>WU16L-12</v>
      </c>
      <c r="G276" s="115" t="str">
        <f>WomenUnder16!B15</f>
        <v>2nd Round</v>
      </c>
      <c r="H276" s="115" t="str">
        <f>WomenUnder16!C15</f>
        <v>BALZAN FLYERS CROSSCRAFT</v>
      </c>
      <c r="I276" s="115" t="str">
        <f>WomenUnder16!D15</f>
        <v>FLEUR DE LYS TWISTEES</v>
      </c>
      <c r="J276" s="115">
        <f>WomenUnder16!E15</f>
        <v>2</v>
      </c>
      <c r="K276" s="115">
        <f>WomenUnder16!F15</f>
        <v>3</v>
      </c>
      <c r="L276" s="126"/>
      <c r="M276" s="126"/>
      <c r="N276" s="126"/>
      <c r="O276" s="130"/>
      <c r="P276" s="130"/>
      <c r="Q276" s="130"/>
      <c r="R276" s="130"/>
      <c r="S276" s="130"/>
      <c r="T276" s="131"/>
      <c r="U276" s="131"/>
    </row>
    <row r="277" spans="2:21" ht="7.5" customHeight="1" x14ac:dyDescent="0.2">
      <c r="B277" s="116"/>
      <c r="C277" s="117"/>
      <c r="D277" s="118"/>
      <c r="E277" s="119"/>
      <c r="F277" s="120"/>
      <c r="G277" s="120"/>
      <c r="H277" s="120"/>
      <c r="I277" s="120"/>
      <c r="J277" s="120"/>
      <c r="K277" s="120"/>
      <c r="L277" s="126"/>
      <c r="M277" s="126"/>
      <c r="N277" s="126"/>
      <c r="O277" s="130"/>
      <c r="P277" s="130"/>
      <c r="Q277" s="130"/>
      <c r="R277" s="130"/>
      <c r="S277" s="130"/>
      <c r="T277" s="131"/>
      <c r="U277" s="131"/>
    </row>
    <row r="278" spans="2:21" x14ac:dyDescent="0.2">
      <c r="B278" s="76" t="s">
        <v>124</v>
      </c>
      <c r="C278" s="77">
        <v>42386</v>
      </c>
      <c r="D278" s="85" t="s">
        <v>129</v>
      </c>
      <c r="E278" s="79" t="s">
        <v>120</v>
      </c>
      <c r="F278" s="86" t="str">
        <f>MenLeagueGames!A14</f>
        <v>ML-11</v>
      </c>
      <c r="G278" s="86" t="str">
        <f>MenLeagueGames!B14</f>
        <v>2nd Round</v>
      </c>
      <c r="H278" s="86" t="str">
        <f>MenLeagueGames!C14</f>
        <v>FLEUR DE LYS TWISTEES</v>
      </c>
      <c r="I278" s="86" t="str">
        <f>MenLeagueGames!D14</f>
        <v>VALLETTA MAPEI</v>
      </c>
      <c r="J278" s="86">
        <f>MenLeagueGames!E14</f>
        <v>0</v>
      </c>
      <c r="K278" s="86">
        <f>MenLeagueGames!F14</f>
        <v>3</v>
      </c>
      <c r="L278" s="126"/>
      <c r="M278" s="126"/>
      <c r="N278" s="126"/>
      <c r="O278" s="130"/>
      <c r="P278" s="130"/>
      <c r="Q278" s="130"/>
      <c r="R278" s="130"/>
      <c r="S278" s="130"/>
      <c r="T278" s="131"/>
      <c r="U278" s="131"/>
    </row>
    <row r="279" spans="2:21" ht="7.5" customHeight="1" x14ac:dyDescent="0.2">
      <c r="B279" s="80"/>
      <c r="C279" s="81"/>
      <c r="D279" s="82"/>
      <c r="E279" s="83"/>
      <c r="F279" s="84"/>
      <c r="G279" s="84"/>
      <c r="H279" s="84"/>
      <c r="I279" s="84"/>
      <c r="J279" s="84"/>
      <c r="K279" s="84"/>
      <c r="L279" s="126"/>
      <c r="M279" s="126"/>
      <c r="N279" s="126"/>
      <c r="O279" s="130"/>
      <c r="P279" s="130"/>
      <c r="Q279" s="130"/>
      <c r="R279" s="130"/>
      <c r="S279" s="130"/>
      <c r="T279" s="131"/>
      <c r="U279" s="131"/>
    </row>
    <row r="280" spans="2:21" x14ac:dyDescent="0.2">
      <c r="B280" s="76" t="s">
        <v>124</v>
      </c>
      <c r="C280" s="77">
        <v>42386</v>
      </c>
      <c r="D280" s="85" t="s">
        <v>130</v>
      </c>
      <c r="E280" s="79" t="s">
        <v>120</v>
      </c>
      <c r="F280" s="86" t="str">
        <f>WomenLeagueGames1stRound!A40</f>
        <v>WL-37</v>
      </c>
      <c r="G280" s="86" t="str">
        <f>WomenLeagueGames1stRound!B40</f>
        <v>1st Round</v>
      </c>
      <c r="H280" s="86" t="str">
        <f>WomenLeagueGames1stRound!C40</f>
        <v>BALZAN FLYERS</v>
      </c>
      <c r="I280" s="86" t="str">
        <f>WomenLeagueGames1stRound!D40</f>
        <v>BALZAN FLYERS 2</v>
      </c>
      <c r="J280" s="86">
        <f>WomenLeagueGames1stRound!E40</f>
        <v>3</v>
      </c>
      <c r="K280" s="86">
        <f>WomenLeagueGames1stRound!F40</f>
        <v>0</v>
      </c>
      <c r="L280" s="126"/>
      <c r="M280" s="126"/>
      <c r="N280" s="126"/>
      <c r="O280" s="130"/>
      <c r="P280" s="130"/>
      <c r="Q280" s="130"/>
      <c r="R280" s="130"/>
      <c r="S280" s="130"/>
      <c r="T280" s="131"/>
      <c r="U280" s="131"/>
    </row>
    <row r="281" spans="2:21" ht="7.5" customHeight="1" x14ac:dyDescent="0.2">
      <c r="B281" s="80"/>
      <c r="C281" s="81"/>
      <c r="D281" s="82"/>
      <c r="E281" s="83"/>
      <c r="F281" s="84"/>
      <c r="G281" s="84"/>
      <c r="H281" s="84"/>
      <c r="I281" s="84"/>
      <c r="J281" s="84"/>
      <c r="K281" s="84"/>
      <c r="L281" s="126"/>
      <c r="M281" s="126"/>
      <c r="N281" s="126"/>
      <c r="O281" s="130"/>
      <c r="P281" s="130"/>
      <c r="Q281" s="130"/>
      <c r="R281" s="130"/>
      <c r="S281" s="130"/>
      <c r="T281" s="131"/>
      <c r="U281" s="131"/>
    </row>
    <row r="282" spans="2:21" x14ac:dyDescent="0.2">
      <c r="B282" s="76" t="s">
        <v>124</v>
      </c>
      <c r="C282" s="77">
        <v>42386</v>
      </c>
      <c r="D282" s="85" t="s">
        <v>133</v>
      </c>
      <c r="E282" s="79" t="s">
        <v>120</v>
      </c>
      <c r="F282" s="86" t="str">
        <f>WomenLeagueGames1stRound!A43</f>
        <v>WL-40</v>
      </c>
      <c r="G282" s="86" t="str">
        <f>WomenLeagueGames1stRound!B43</f>
        <v>1st Round</v>
      </c>
      <c r="H282" s="86" t="str">
        <f>WomenLeagueGames1stRound!C43</f>
        <v>FLEUR DE LYS TWISTEES</v>
      </c>
      <c r="I282" s="86" t="str">
        <f>WomenLeagueGames1stRound!D43</f>
        <v>BIRKIRKARA</v>
      </c>
      <c r="J282" s="86">
        <f>WomenLeagueGames1stRound!E43</f>
        <v>3</v>
      </c>
      <c r="K282" s="86">
        <f>WomenLeagueGames1stRound!F43</f>
        <v>0</v>
      </c>
    </row>
    <row r="283" spans="2:21" ht="7.5" customHeight="1" x14ac:dyDescent="0.2">
      <c r="B283" s="80"/>
      <c r="C283" s="81"/>
      <c r="D283" s="82"/>
      <c r="E283" s="83"/>
      <c r="F283" s="84"/>
      <c r="G283" s="84"/>
      <c r="H283" s="84"/>
      <c r="I283" s="84"/>
      <c r="J283" s="84"/>
      <c r="K283" s="84"/>
      <c r="L283" s="126"/>
      <c r="M283" s="126"/>
      <c r="N283" s="126"/>
      <c r="O283" s="130"/>
      <c r="P283" s="130"/>
      <c r="Q283" s="130"/>
      <c r="R283" s="130"/>
      <c r="S283" s="130"/>
      <c r="T283" s="131"/>
      <c r="U283" s="131"/>
    </row>
    <row r="285" spans="2:21" x14ac:dyDescent="0.2">
      <c r="B285" s="111" t="s">
        <v>121</v>
      </c>
      <c r="C285" s="112">
        <v>42392</v>
      </c>
      <c r="D285" s="121" t="s">
        <v>141</v>
      </c>
      <c r="E285" s="114" t="s">
        <v>120</v>
      </c>
      <c r="F285" s="115" t="str">
        <f>WomenUnder18!A10</f>
        <v>WU18L-07</v>
      </c>
      <c r="G285" s="115" t="str">
        <f>WomenUnder18!B10</f>
        <v>3rd Round</v>
      </c>
      <c r="H285" s="115" t="str">
        <f>WomenUnder18!C10</f>
        <v>SWIEQI PHOENIX</v>
      </c>
      <c r="I285" s="115" t="str">
        <f>WomenUnder18!D10</f>
        <v>BALZAN FLYERS CROSSCRAFT</v>
      </c>
      <c r="J285" s="115">
        <f>WomenUnder18!E10</f>
        <v>3</v>
      </c>
      <c r="K285" s="115">
        <f>WomenUnder18!F10</f>
        <v>0</v>
      </c>
    </row>
    <row r="286" spans="2:21" ht="7.5" customHeight="1" x14ac:dyDescent="0.2">
      <c r="B286" s="116"/>
      <c r="C286" s="117"/>
      <c r="D286" s="118"/>
      <c r="E286" s="119"/>
      <c r="F286" s="120"/>
      <c r="G286" s="120"/>
      <c r="H286" s="120"/>
      <c r="I286" s="120"/>
      <c r="J286" s="120"/>
      <c r="K286" s="120"/>
      <c r="L286" s="126"/>
      <c r="M286" s="126"/>
      <c r="N286" s="126"/>
      <c r="O286" s="130"/>
      <c r="P286" s="130"/>
      <c r="Q286" s="130"/>
      <c r="R286" s="130"/>
      <c r="S286" s="130"/>
      <c r="T286" s="131"/>
      <c r="U286" s="131"/>
    </row>
    <row r="287" spans="2:21" x14ac:dyDescent="0.2">
      <c r="B287" s="76" t="s">
        <v>121</v>
      </c>
      <c r="C287" s="77">
        <v>42392</v>
      </c>
      <c r="D287" s="78" t="s">
        <v>137</v>
      </c>
      <c r="E287" s="79" t="s">
        <v>120</v>
      </c>
      <c r="F287" s="86" t="str">
        <f>MenLeagueGames!A15</f>
        <v>ML-12</v>
      </c>
      <c r="G287" s="86" t="str">
        <f>MenLeagueGames!B15</f>
        <v>2nd Round</v>
      </c>
      <c r="H287" s="86" t="str">
        <f>MenLeagueGames!C15</f>
        <v>ALOYSIANS</v>
      </c>
      <c r="I287" s="86" t="str">
        <f>MenLeagueGames!D15</f>
        <v>MGARR</v>
      </c>
      <c r="J287" s="86">
        <f>MenLeagueGames!E15</f>
        <v>3</v>
      </c>
      <c r="K287" s="86">
        <f>MenLeagueGames!F15</f>
        <v>0</v>
      </c>
    </row>
    <row r="288" spans="2:21" ht="7.5" customHeight="1" x14ac:dyDescent="0.2">
      <c r="B288" s="80"/>
      <c r="C288" s="81"/>
      <c r="D288" s="82"/>
      <c r="E288" s="83"/>
      <c r="F288" s="84"/>
      <c r="G288" s="84"/>
      <c r="H288" s="84"/>
      <c r="I288" s="84"/>
      <c r="J288" s="84"/>
      <c r="K288" s="84"/>
      <c r="L288" s="126"/>
      <c r="M288" s="126"/>
      <c r="N288" s="126"/>
      <c r="O288" s="130"/>
      <c r="P288" s="130"/>
      <c r="Q288" s="130"/>
      <c r="R288" s="130"/>
      <c r="S288" s="130"/>
      <c r="T288" s="131"/>
      <c r="U288" s="131"/>
    </row>
    <row r="289" spans="2:21" x14ac:dyDescent="0.2">
      <c r="B289" s="139" t="s">
        <v>121</v>
      </c>
      <c r="C289" s="140">
        <v>42392</v>
      </c>
      <c r="D289" s="141" t="s">
        <v>138</v>
      </c>
      <c r="E289" s="142" t="s">
        <v>120</v>
      </c>
      <c r="F289" s="149" t="str">
        <f>WomenLeagueGames1stRound!A48</f>
        <v>WL-45</v>
      </c>
      <c r="G289" s="149" t="str">
        <f>WomenLeagueGames1stRound!B48</f>
        <v>1st Round</v>
      </c>
      <c r="H289" s="149" t="str">
        <f>WomenLeagueGames1stRound!C48</f>
        <v>MGARR</v>
      </c>
      <c r="I289" s="149" t="str">
        <f>WomenLeagueGames1stRound!D48</f>
        <v>BIRKIRKARA</v>
      </c>
      <c r="J289" s="143">
        <f>WomenLeagueGames1stRound!E48</f>
        <v>2</v>
      </c>
      <c r="K289" s="143">
        <f>WomenLeagueGames1stRound!F48</f>
        <v>3</v>
      </c>
    </row>
    <row r="290" spans="2:21" ht="7.5" customHeight="1" x14ac:dyDescent="0.2">
      <c r="B290" s="144"/>
      <c r="C290" s="145"/>
      <c r="D290" s="146"/>
      <c r="E290" s="147"/>
      <c r="F290" s="148"/>
      <c r="G290" s="148"/>
      <c r="H290" s="148"/>
      <c r="I290" s="148"/>
      <c r="J290" s="148"/>
      <c r="K290" s="148"/>
      <c r="L290" s="126"/>
      <c r="M290" s="126"/>
      <c r="N290" s="126"/>
      <c r="O290" s="130"/>
      <c r="P290" s="130"/>
      <c r="Q290" s="130"/>
      <c r="R290" s="130"/>
      <c r="S290" s="130"/>
      <c r="T290" s="131"/>
      <c r="U290" s="131"/>
    </row>
    <row r="292" spans="2:21" x14ac:dyDescent="0.2">
      <c r="B292" s="76" t="s">
        <v>124</v>
      </c>
      <c r="C292" s="77">
        <v>42393</v>
      </c>
      <c r="D292" s="85" t="s">
        <v>129</v>
      </c>
      <c r="E292" s="79" t="s">
        <v>120</v>
      </c>
      <c r="F292" s="86" t="str">
        <f>WomenLeagueGames1stRound!A44</f>
        <v>WL-41</v>
      </c>
      <c r="G292" s="86" t="str">
        <f>WomenLeagueGames1stRound!B44</f>
        <v>1st Round</v>
      </c>
      <c r="H292" s="86" t="str">
        <f>WomenLeagueGames1stRound!C44</f>
        <v>PLAYVOLLEY GENERAL MEMBRANE</v>
      </c>
      <c r="I292" s="86" t="str">
        <f>WomenLeagueGames1stRound!D44</f>
        <v>BALZAN FLYERS</v>
      </c>
      <c r="J292" s="86">
        <f>WomenLeagueGames1stRound!E44</f>
        <v>0</v>
      </c>
      <c r="K292" s="86">
        <f>WomenLeagueGames1stRound!F44</f>
        <v>3</v>
      </c>
    </row>
    <row r="293" spans="2:21" ht="7.5" customHeight="1" x14ac:dyDescent="0.2">
      <c r="B293" s="80"/>
      <c r="C293" s="81"/>
      <c r="D293" s="82"/>
      <c r="E293" s="83"/>
      <c r="F293" s="84"/>
      <c r="G293" s="84"/>
      <c r="H293" s="84"/>
      <c r="I293" s="84"/>
      <c r="J293" s="84"/>
      <c r="K293" s="84"/>
      <c r="L293" s="126"/>
      <c r="M293" s="126"/>
      <c r="N293" s="126"/>
      <c r="O293" s="130"/>
      <c r="P293" s="130"/>
      <c r="Q293" s="130"/>
      <c r="R293" s="130"/>
      <c r="S293" s="130"/>
      <c r="T293" s="131"/>
      <c r="U293" s="131"/>
    </row>
    <row r="294" spans="2:21" x14ac:dyDescent="0.2">
      <c r="B294" s="76" t="s">
        <v>124</v>
      </c>
      <c r="C294" s="77">
        <v>42393</v>
      </c>
      <c r="D294" s="85" t="s">
        <v>130</v>
      </c>
      <c r="E294" s="79" t="s">
        <v>120</v>
      </c>
      <c r="F294" s="86" t="str">
        <f>WomenLeagueGames1stRound!A35</f>
        <v>WL-32</v>
      </c>
      <c r="G294" s="86" t="str">
        <f>WomenLeagueGames1stRound!B35</f>
        <v>1st Round</v>
      </c>
      <c r="H294" s="86" t="str">
        <f>WomenLeagueGames1stRound!C35</f>
        <v>SLIEMA WANDERERS</v>
      </c>
      <c r="I294" s="86" t="str">
        <f>WomenLeagueGames1stRound!D35</f>
        <v>SWIEQI PHOENIX</v>
      </c>
      <c r="J294" s="86">
        <f>WomenLeagueGames1stRound!E35</f>
        <v>1</v>
      </c>
      <c r="K294" s="86">
        <f>WomenLeagueGames1stRound!F35</f>
        <v>3</v>
      </c>
    </row>
    <row r="295" spans="2:21" ht="7.5" customHeight="1" x14ac:dyDescent="0.2">
      <c r="B295" s="80"/>
      <c r="C295" s="81"/>
      <c r="D295" s="82"/>
      <c r="E295" s="83"/>
      <c r="F295" s="84"/>
      <c r="G295" s="84"/>
      <c r="H295" s="84"/>
      <c r="I295" s="84"/>
      <c r="J295" s="84"/>
      <c r="K295" s="84"/>
      <c r="L295" s="126"/>
      <c r="M295" s="126"/>
      <c r="N295" s="126"/>
      <c r="O295" s="130"/>
      <c r="P295" s="130"/>
      <c r="Q295" s="130"/>
      <c r="R295" s="130"/>
      <c r="S295" s="130"/>
      <c r="T295" s="131"/>
      <c r="U295" s="131"/>
    </row>
    <row r="296" spans="2:21" x14ac:dyDescent="0.2">
      <c r="B296" s="76" t="s">
        <v>124</v>
      </c>
      <c r="C296" s="77">
        <v>42393</v>
      </c>
      <c r="D296" s="79" t="s">
        <v>133</v>
      </c>
      <c r="E296" s="79" t="s">
        <v>120</v>
      </c>
      <c r="F296" s="79" t="str">
        <f>MenLeagueGames!A24</f>
        <v>ML-21</v>
      </c>
      <c r="G296" s="79"/>
      <c r="H296" s="79"/>
      <c r="I296" s="79"/>
      <c r="J296" s="79">
        <f>WomenLeagueGames1stRound!E38</f>
        <v>0</v>
      </c>
      <c r="K296" s="79">
        <f>WomenLeagueGames1stRound!F38</f>
        <v>3</v>
      </c>
    </row>
    <row r="297" spans="2:21" ht="7.5" customHeight="1" x14ac:dyDescent="0.2"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126"/>
      <c r="M297" s="126"/>
      <c r="N297" s="126"/>
      <c r="O297" s="130"/>
      <c r="P297" s="130"/>
      <c r="Q297" s="130"/>
      <c r="R297" s="130"/>
      <c r="S297" s="130"/>
      <c r="T297" s="131"/>
      <c r="U297" s="131"/>
    </row>
    <row r="299" spans="2:21" x14ac:dyDescent="0.2">
      <c r="B299" s="111" t="s">
        <v>121</v>
      </c>
      <c r="C299" s="112">
        <v>42399</v>
      </c>
      <c r="D299" s="121" t="s">
        <v>141</v>
      </c>
      <c r="E299" s="114" t="s">
        <v>120</v>
      </c>
      <c r="F299" s="115" t="str">
        <f>WomenUnder18!A14</f>
        <v>WU18L-11</v>
      </c>
      <c r="G299" s="115" t="str">
        <f>WomenUnder18!B14</f>
        <v>4th Round</v>
      </c>
      <c r="H299" s="115" t="str">
        <f>WomenUnder18!C14</f>
        <v>FLEUR DE LYS TWISTEES</v>
      </c>
      <c r="I299" s="115" t="str">
        <f>WomenUnder18!D14</f>
        <v>BALZAN FLYERS CROSSCRAFT</v>
      </c>
      <c r="J299" s="115">
        <f>WomenUnder18!E14</f>
        <v>0</v>
      </c>
      <c r="K299" s="115">
        <f>WomenUnder18!F14</f>
        <v>3</v>
      </c>
    </row>
    <row r="300" spans="2:21" ht="7.5" customHeight="1" x14ac:dyDescent="0.2">
      <c r="B300" s="116"/>
      <c r="C300" s="117"/>
      <c r="D300" s="118"/>
      <c r="E300" s="119"/>
      <c r="F300" s="120"/>
      <c r="G300" s="120"/>
      <c r="H300" s="120"/>
      <c r="I300" s="120"/>
      <c r="J300" s="120"/>
      <c r="K300" s="120"/>
      <c r="L300" s="126"/>
      <c r="M300" s="126"/>
      <c r="N300" s="126"/>
      <c r="O300" s="130"/>
      <c r="P300" s="130"/>
      <c r="Q300" s="130"/>
      <c r="R300" s="130"/>
      <c r="S300" s="130"/>
      <c r="T300" s="131"/>
      <c r="U300" s="131"/>
    </row>
    <row r="301" spans="2:21" x14ac:dyDescent="0.2">
      <c r="B301" s="76" t="s">
        <v>121</v>
      </c>
      <c r="C301" s="77">
        <v>42399</v>
      </c>
      <c r="D301" s="85" t="s">
        <v>137</v>
      </c>
      <c r="E301" s="79" t="s">
        <v>120</v>
      </c>
      <c r="F301" s="86" t="str">
        <f>WomenLeagueGames1stRound!A31</f>
        <v>WL-28</v>
      </c>
      <c r="G301" s="86" t="str">
        <f>WomenLeagueGames1stRound!B31</f>
        <v>1st Round</v>
      </c>
      <c r="H301" s="86" t="str">
        <f>WomenLeagueGames1stRound!C31</f>
        <v>SWIEQI PHOENIX</v>
      </c>
      <c r="I301" s="86" t="str">
        <f>WomenLeagueGames1stRound!D31</f>
        <v>BIRKIRKARA</v>
      </c>
      <c r="J301" s="86">
        <f>WomenLeagueGames1stRound!E31</f>
        <v>3</v>
      </c>
      <c r="K301" s="86">
        <f>WomenLeagueGames1stRound!F31</f>
        <v>0</v>
      </c>
    </row>
    <row r="302" spans="2:21" ht="7.5" customHeight="1" x14ac:dyDescent="0.2">
      <c r="B302" s="80"/>
      <c r="C302" s="81"/>
      <c r="D302" s="82"/>
      <c r="E302" s="83"/>
      <c r="F302" s="84"/>
      <c r="G302" s="84"/>
      <c r="H302" s="84"/>
      <c r="I302" s="84"/>
      <c r="J302" s="84"/>
      <c r="K302" s="84"/>
      <c r="L302" s="126"/>
      <c r="M302" s="126"/>
      <c r="N302" s="126"/>
      <c r="O302" s="130"/>
      <c r="P302" s="130"/>
      <c r="Q302" s="130"/>
      <c r="R302" s="130"/>
      <c r="S302" s="130"/>
      <c r="T302" s="131"/>
      <c r="U302" s="131"/>
    </row>
    <row r="303" spans="2:21" x14ac:dyDescent="0.2">
      <c r="B303" s="76" t="s">
        <v>121</v>
      </c>
      <c r="C303" s="77">
        <v>42399</v>
      </c>
      <c r="D303" s="85" t="s">
        <v>138</v>
      </c>
      <c r="E303" s="79" t="s">
        <v>120</v>
      </c>
      <c r="F303" s="86" t="str">
        <f>WomenLeagueGames1stRound!A42</f>
        <v>WL-39</v>
      </c>
      <c r="G303" s="86" t="str">
        <f>WomenLeagueGames1stRound!B42</f>
        <v>1st Round</v>
      </c>
      <c r="H303" s="86" t="str">
        <f>WomenLeagueGames1stRound!C42</f>
        <v>PAOLA</v>
      </c>
      <c r="I303" s="86" t="str">
        <f>WomenLeagueGames1stRound!D42</f>
        <v>MGARR</v>
      </c>
      <c r="J303" s="86">
        <f>WomenLeagueGames1stRound!E42</f>
        <v>3</v>
      </c>
      <c r="K303" s="86">
        <f>WomenLeagueGames1stRound!F42</f>
        <v>0</v>
      </c>
    </row>
    <row r="304" spans="2:21" ht="7.5" customHeight="1" x14ac:dyDescent="0.2">
      <c r="B304" s="80"/>
      <c r="C304" s="81"/>
      <c r="D304" s="82"/>
      <c r="E304" s="83"/>
      <c r="F304" s="84"/>
      <c r="G304" s="84"/>
      <c r="H304" s="84"/>
      <c r="I304" s="84"/>
      <c r="J304" s="84"/>
      <c r="K304" s="84"/>
      <c r="L304" s="126"/>
      <c r="M304" s="126"/>
      <c r="N304" s="126"/>
      <c r="O304" s="130"/>
      <c r="P304" s="130"/>
      <c r="Q304" s="130"/>
      <c r="R304" s="130"/>
      <c r="S304" s="130"/>
      <c r="T304" s="131"/>
      <c r="U304" s="131"/>
    </row>
    <row r="306" spans="1:21" ht="15.75" x14ac:dyDescent="0.25">
      <c r="B306" s="76" t="s">
        <v>124</v>
      </c>
      <c r="C306" s="77">
        <v>42400</v>
      </c>
      <c r="D306" s="85" t="s">
        <v>382</v>
      </c>
      <c r="E306" s="79" t="s">
        <v>120</v>
      </c>
      <c r="F306" s="86" t="str">
        <f>WomenUnder14!A5</f>
        <v>WU14L-02</v>
      </c>
      <c r="G306" s="86" t="str">
        <f>WomenUnder14!B5</f>
        <v>1st Round</v>
      </c>
      <c r="H306" s="86" t="str">
        <f>WomenUnder14!C5</f>
        <v>SWIEQI PHOENIX</v>
      </c>
      <c r="I306" s="86" t="str">
        <f>WomenUnder14!D5</f>
        <v>BALZAN FLYERS CROSSCRAFT</v>
      </c>
      <c r="J306" s="86">
        <f>WomenUnder14!E5</f>
        <v>2</v>
      </c>
      <c r="K306" s="86">
        <f>WomenUnder14!F5</f>
        <v>0</v>
      </c>
      <c r="L306" s="132"/>
      <c r="M306" s="126"/>
      <c r="N306" s="126"/>
      <c r="O306" s="130"/>
      <c r="P306" s="130"/>
      <c r="Q306" s="130"/>
      <c r="R306" s="130"/>
      <c r="S306" s="130"/>
      <c r="T306" s="131"/>
      <c r="U306" s="131"/>
    </row>
    <row r="307" spans="1:21" ht="7.5" customHeight="1" x14ac:dyDescent="0.2">
      <c r="B307" s="80"/>
      <c r="C307" s="81"/>
      <c r="D307" s="82"/>
      <c r="E307" s="83"/>
      <c r="F307" s="84"/>
      <c r="G307" s="84"/>
      <c r="H307" s="84"/>
      <c r="I307" s="84"/>
      <c r="J307" s="84"/>
      <c r="K307" s="84"/>
      <c r="L307" s="126"/>
      <c r="M307" s="126"/>
      <c r="N307" s="126"/>
      <c r="O307" s="130"/>
      <c r="P307" s="130"/>
      <c r="Q307" s="130"/>
      <c r="R307" s="130"/>
      <c r="S307" s="130"/>
      <c r="T307" s="131"/>
      <c r="U307" s="131"/>
    </row>
    <row r="308" spans="1:21" x14ac:dyDescent="0.2">
      <c r="B308" s="111" t="s">
        <v>124</v>
      </c>
      <c r="C308" s="112">
        <v>42400</v>
      </c>
      <c r="D308" s="121" t="s">
        <v>129</v>
      </c>
      <c r="E308" s="114" t="s">
        <v>120</v>
      </c>
      <c r="F308" s="115" t="str">
        <f>WomenUnder16!A12</f>
        <v>WU16L-09</v>
      </c>
      <c r="G308" s="115" t="str">
        <f>WomenUnder16!B12</f>
        <v>2nd Round</v>
      </c>
      <c r="H308" s="115" t="str">
        <f>WomenUnder16!C12</f>
        <v>FLEUR DE LYS TWISTEES</v>
      </c>
      <c r="I308" s="115" t="str">
        <f>WomenUnder16!D12</f>
        <v>PAOLA</v>
      </c>
      <c r="J308" s="115">
        <f>WomenUnder16!E12</f>
        <v>3</v>
      </c>
      <c r="K308" s="115">
        <f>WomenUnder16!F12</f>
        <v>2</v>
      </c>
    </row>
    <row r="309" spans="1:21" ht="7.5" customHeight="1" x14ac:dyDescent="0.2">
      <c r="B309" s="116"/>
      <c r="C309" s="117"/>
      <c r="D309" s="118"/>
      <c r="E309" s="119"/>
      <c r="F309" s="120"/>
      <c r="G309" s="120"/>
      <c r="H309" s="120"/>
      <c r="I309" s="120"/>
      <c r="J309" s="120"/>
      <c r="K309" s="120"/>
      <c r="L309" s="126"/>
      <c r="M309" s="126"/>
      <c r="N309" s="126"/>
      <c r="O309" s="130"/>
      <c r="P309" s="130"/>
      <c r="Q309" s="130"/>
      <c r="R309" s="130"/>
      <c r="S309" s="130"/>
      <c r="T309" s="131"/>
      <c r="U309" s="131"/>
    </row>
    <row r="310" spans="1:21" x14ac:dyDescent="0.2">
      <c r="B310" s="76" t="s">
        <v>124</v>
      </c>
      <c r="C310" s="77">
        <v>42400</v>
      </c>
      <c r="D310" s="85" t="s">
        <v>130</v>
      </c>
      <c r="E310" s="79" t="s">
        <v>120</v>
      </c>
      <c r="F310" s="86" t="str">
        <f>WomenLeagueGames1stRound!A32</f>
        <v>WL-29</v>
      </c>
      <c r="G310" s="86" t="str">
        <f>WomenLeagueGames1stRound!B32</f>
        <v>1st Round</v>
      </c>
      <c r="H310" s="86" t="str">
        <f>WomenLeagueGames1stRound!C32</f>
        <v>BALZAN FLYERS</v>
      </c>
      <c r="I310" s="86" t="str">
        <f>WomenLeagueGames1stRound!D32</f>
        <v>FLEUR DE LYS TWISTEES</v>
      </c>
      <c r="J310" s="86">
        <f>WomenLeagueGames1stRound!E32</f>
        <v>3</v>
      </c>
      <c r="K310" s="86">
        <f>WomenLeagueGames1stRound!F32</f>
        <v>0</v>
      </c>
      <c r="L310" s="126"/>
      <c r="M310" s="126"/>
      <c r="N310" s="126"/>
      <c r="O310" s="130"/>
      <c r="P310" s="130"/>
      <c r="Q310" s="130"/>
      <c r="R310" s="130"/>
      <c r="S310" s="130"/>
      <c r="T310" s="131"/>
      <c r="U310" s="131"/>
    </row>
    <row r="311" spans="1:21" ht="7.5" customHeight="1" x14ac:dyDescent="0.2">
      <c r="B311" s="80"/>
      <c r="C311" s="81"/>
      <c r="D311" s="82"/>
      <c r="E311" s="83"/>
      <c r="F311" s="84"/>
      <c r="G311" s="84"/>
      <c r="H311" s="84"/>
      <c r="I311" s="84"/>
      <c r="J311" s="84"/>
      <c r="K311" s="84"/>
      <c r="L311" s="126"/>
      <c r="M311" s="126"/>
      <c r="N311" s="126"/>
      <c r="O311" s="130"/>
      <c r="P311" s="130"/>
      <c r="Q311" s="130"/>
      <c r="R311" s="130"/>
      <c r="S311" s="130"/>
      <c r="T311" s="131"/>
      <c r="U311" s="131"/>
    </row>
    <row r="312" spans="1:21" x14ac:dyDescent="0.2">
      <c r="B312" s="139" t="s">
        <v>124</v>
      </c>
      <c r="C312" s="140">
        <v>42400</v>
      </c>
      <c r="D312" s="141" t="s">
        <v>133</v>
      </c>
      <c r="E312" s="142" t="s">
        <v>120</v>
      </c>
      <c r="F312" s="149" t="str">
        <f>WomenLeagueGames1stRound!A46</f>
        <v>WL-43</v>
      </c>
      <c r="G312" s="149" t="str">
        <f>WomenLeagueGames1stRound!B46</f>
        <v>1st Round</v>
      </c>
      <c r="H312" s="149" t="str">
        <f>WomenLeagueGames1stRound!C46</f>
        <v>BALZAN FLYERS 2</v>
      </c>
      <c r="I312" s="149" t="str">
        <f>WomenLeagueGames1stRound!D46</f>
        <v>PAOLA</v>
      </c>
      <c r="J312" s="149">
        <f>WomenLeagueGames1stRound!E46</f>
        <v>0</v>
      </c>
      <c r="K312" s="149">
        <f>WomenLeagueGames1stRound!F46</f>
        <v>3</v>
      </c>
      <c r="L312" s="126"/>
      <c r="M312" s="126"/>
      <c r="N312" s="126"/>
      <c r="O312" s="130"/>
      <c r="P312" s="130"/>
      <c r="Q312" s="130"/>
      <c r="R312" s="130"/>
      <c r="S312" s="130"/>
      <c r="T312" s="131"/>
      <c r="U312" s="131"/>
    </row>
    <row r="313" spans="1:21" ht="7.5" customHeight="1" x14ac:dyDescent="0.2">
      <c r="B313" s="144"/>
      <c r="C313" s="145"/>
      <c r="D313" s="146"/>
      <c r="E313" s="147"/>
      <c r="F313" s="148"/>
      <c r="G313" s="148"/>
      <c r="H313" s="148"/>
      <c r="I313" s="148"/>
      <c r="J313" s="148"/>
      <c r="K313" s="148"/>
      <c r="L313" s="126"/>
      <c r="M313" s="126"/>
      <c r="N313" s="126"/>
      <c r="O313" s="130"/>
      <c r="P313" s="130"/>
      <c r="Q313" s="130"/>
      <c r="R313" s="130"/>
      <c r="S313" s="130"/>
      <c r="T313" s="131"/>
      <c r="U313" s="131"/>
    </row>
    <row r="315" spans="1:21" ht="26.25" x14ac:dyDescent="0.4">
      <c r="A315" s="242" t="s">
        <v>155</v>
      </c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</row>
    <row r="317" spans="1:21" x14ac:dyDescent="0.2">
      <c r="B317" s="76" t="s">
        <v>121</v>
      </c>
      <c r="C317" s="77">
        <v>42406</v>
      </c>
      <c r="D317" s="78" t="s">
        <v>137</v>
      </c>
      <c r="E317" s="79" t="s">
        <v>120</v>
      </c>
      <c r="F317" s="86" t="str">
        <f>WomenLeagueGames1stRound!A24</f>
        <v>WL-21</v>
      </c>
      <c r="G317" s="86" t="str">
        <f>WomenLeagueGames1stRound!B24</f>
        <v>1st Round</v>
      </c>
      <c r="H317" s="86" t="str">
        <f>WomenLeagueGames1stRound!C24</f>
        <v>PLAYVOLLEY GENERAL MEMBRANE</v>
      </c>
      <c r="I317" s="86" t="str">
        <f>WomenLeagueGames1stRound!D24</f>
        <v>MGARR</v>
      </c>
      <c r="J317" s="86">
        <f>WomenLeagueGames1stRound!E24</f>
        <v>1</v>
      </c>
      <c r="K317" s="86">
        <f>WomenLeagueGames1stRound!F24</f>
        <v>3</v>
      </c>
      <c r="L317" s="126"/>
      <c r="M317" s="126"/>
      <c r="N317" s="126"/>
      <c r="O317" s="130"/>
      <c r="P317" s="130"/>
      <c r="Q317" s="130"/>
      <c r="R317" s="130"/>
      <c r="S317" s="130"/>
      <c r="T317" s="131"/>
      <c r="U317" s="131"/>
    </row>
    <row r="318" spans="1:21" ht="7.5" customHeight="1" x14ac:dyDescent="0.2">
      <c r="B318" s="80"/>
      <c r="C318" s="81"/>
      <c r="D318" s="82"/>
      <c r="E318" s="83"/>
      <c r="F318" s="84"/>
      <c r="G318" s="84"/>
      <c r="H318" s="84"/>
      <c r="I318" s="84"/>
      <c r="J318" s="84"/>
      <c r="K318" s="84"/>
      <c r="L318" s="126"/>
      <c r="M318" s="126"/>
      <c r="N318" s="126"/>
      <c r="O318" s="130"/>
      <c r="P318" s="130"/>
      <c r="Q318" s="130"/>
      <c r="R318" s="130"/>
      <c r="S318" s="130"/>
      <c r="T318" s="131"/>
      <c r="U318" s="131"/>
    </row>
    <row r="319" spans="1:21" x14ac:dyDescent="0.2">
      <c r="B319" s="76" t="s">
        <v>121</v>
      </c>
      <c r="C319" s="77">
        <v>42406</v>
      </c>
      <c r="D319" s="85" t="s">
        <v>138</v>
      </c>
      <c r="E319" s="79" t="s">
        <v>120</v>
      </c>
      <c r="F319" s="86" t="str">
        <f>MenLeagueGames!A16</f>
        <v>ML-13</v>
      </c>
      <c r="G319" s="86" t="str">
        <f>MenLeagueGames!B16</f>
        <v>3rd Round</v>
      </c>
      <c r="H319" s="86" t="str">
        <f>MenLeagueGames!C16</f>
        <v>FLEUR DE LYS TWISTEES</v>
      </c>
      <c r="I319" s="86" t="str">
        <f>MenLeagueGames!D16</f>
        <v>ALOYSIANS</v>
      </c>
      <c r="J319" s="86">
        <f>MenLeagueGames!E16</f>
        <v>3</v>
      </c>
      <c r="K319" s="86">
        <f>MenLeagueGames!F16</f>
        <v>0</v>
      </c>
    </row>
    <row r="320" spans="1:21" ht="7.5" customHeight="1" x14ac:dyDescent="0.2">
      <c r="B320" s="80"/>
      <c r="C320" s="81"/>
      <c r="D320" s="82"/>
      <c r="E320" s="83"/>
      <c r="F320" s="84"/>
      <c r="G320" s="84"/>
      <c r="H320" s="84"/>
      <c r="I320" s="84"/>
      <c r="J320" s="84"/>
      <c r="K320" s="84"/>
      <c r="L320" s="126"/>
      <c r="M320" s="126"/>
      <c r="N320" s="126"/>
      <c r="O320" s="130"/>
      <c r="P320" s="130"/>
      <c r="Q320" s="130"/>
      <c r="R320" s="130"/>
      <c r="S320" s="130"/>
      <c r="T320" s="131"/>
      <c r="U320" s="131"/>
    </row>
    <row r="322" spans="2:21" x14ac:dyDescent="0.2">
      <c r="B322" s="76" t="s">
        <v>124</v>
      </c>
      <c r="C322" s="77">
        <v>42407</v>
      </c>
      <c r="D322" s="85" t="s">
        <v>129</v>
      </c>
      <c r="E322" s="79" t="s">
        <v>120</v>
      </c>
      <c r="F322" s="86"/>
      <c r="G322" s="86"/>
      <c r="H322" s="86"/>
      <c r="I322" s="86"/>
      <c r="J322" s="86"/>
      <c r="K322" s="86"/>
      <c r="L322" s="126"/>
      <c r="M322" s="126"/>
      <c r="N322" s="126"/>
      <c r="O322" s="130"/>
      <c r="P322" s="130"/>
      <c r="Q322" s="130"/>
      <c r="R322" s="130"/>
      <c r="S322" s="130"/>
      <c r="T322" s="131"/>
      <c r="U322" s="131"/>
    </row>
    <row r="323" spans="2:21" ht="7.5" customHeight="1" x14ac:dyDescent="0.2">
      <c r="B323" s="80"/>
      <c r="C323" s="81"/>
      <c r="D323" s="82"/>
      <c r="E323" s="83"/>
      <c r="F323" s="84"/>
      <c r="G323" s="84"/>
      <c r="H323" s="84"/>
      <c r="I323" s="84"/>
      <c r="J323" s="84"/>
      <c r="K323" s="84"/>
      <c r="L323" s="126"/>
      <c r="M323" s="126"/>
      <c r="N323" s="126"/>
      <c r="O323" s="130"/>
      <c r="P323" s="130"/>
      <c r="Q323" s="130"/>
      <c r="R323" s="130"/>
      <c r="S323" s="130"/>
      <c r="T323" s="131"/>
      <c r="U323" s="131"/>
    </row>
    <row r="324" spans="2:21" x14ac:dyDescent="0.2">
      <c r="B324" s="76" t="s">
        <v>124</v>
      </c>
      <c r="C324" s="77">
        <v>42407</v>
      </c>
      <c r="D324" s="85" t="s">
        <v>130</v>
      </c>
      <c r="E324" s="79" t="s">
        <v>120</v>
      </c>
      <c r="F324" s="86" t="str">
        <f>WomenLeagueGames1stRound!A38</f>
        <v>WL-35</v>
      </c>
      <c r="G324" s="86" t="str">
        <f>WomenLeagueGames1stRound!B38</f>
        <v>1st Round</v>
      </c>
      <c r="H324" s="86" t="str">
        <f>WomenLeagueGames1stRound!C38</f>
        <v>FLEUR DE LYS TWISTEES</v>
      </c>
      <c r="I324" s="86" t="str">
        <f>WomenLeagueGames1stRound!D38</f>
        <v>PAOLA</v>
      </c>
      <c r="J324" s="86">
        <f>WomenLeagueGames1stRound!E38</f>
        <v>0</v>
      </c>
      <c r="K324" s="86">
        <f>WomenLeagueGames1stRound!F38</f>
        <v>3</v>
      </c>
      <c r="L324" s="126"/>
      <c r="M324" s="126"/>
      <c r="N324" s="126"/>
      <c r="O324" s="130"/>
      <c r="P324" s="130"/>
      <c r="Q324" s="130"/>
      <c r="R324" s="130"/>
      <c r="S324" s="130"/>
      <c r="T324" s="131"/>
      <c r="U324" s="131"/>
    </row>
    <row r="325" spans="2:21" ht="7.5" customHeight="1" x14ac:dyDescent="0.2">
      <c r="B325" s="80"/>
      <c r="C325" s="81"/>
      <c r="D325" s="82"/>
      <c r="E325" s="83"/>
      <c r="F325" s="84"/>
      <c r="G325" s="84"/>
      <c r="H325" s="84"/>
      <c r="I325" s="84"/>
      <c r="J325" s="84"/>
      <c r="K325" s="84"/>
      <c r="L325" s="126"/>
      <c r="M325" s="126"/>
      <c r="N325" s="126"/>
      <c r="O325" s="130"/>
      <c r="P325" s="130"/>
      <c r="Q325" s="130"/>
      <c r="R325" s="130"/>
      <c r="S325" s="130"/>
      <c r="T325" s="131"/>
      <c r="U325" s="131"/>
    </row>
    <row r="326" spans="2:21" x14ac:dyDescent="0.2">
      <c r="B326" s="76" t="s">
        <v>124</v>
      </c>
      <c r="C326" s="77">
        <v>42407</v>
      </c>
      <c r="D326" s="85" t="s">
        <v>133</v>
      </c>
      <c r="E326" s="79" t="s">
        <v>120</v>
      </c>
      <c r="F326" s="86" t="str">
        <f>WomenLeagueGames1stRound!A39</f>
        <v>WL-36</v>
      </c>
      <c r="G326" s="86" t="str">
        <f>WomenLeagueGames1stRound!B39</f>
        <v>1st Round</v>
      </c>
      <c r="H326" s="86" t="str">
        <f>WomenLeagueGames1stRound!C39</f>
        <v>SWIEQI PHOENIX</v>
      </c>
      <c r="I326" s="86" t="str">
        <f>WomenLeagueGames1stRound!D39</f>
        <v>PLAYVOLLEY GENERAL MEMBRANE</v>
      </c>
      <c r="J326" s="86">
        <f>WomenLeagueGames1stRound!E39</f>
        <v>0</v>
      </c>
      <c r="K326" s="86">
        <f>WomenLeagueGames1stRound!F39</f>
        <v>3</v>
      </c>
    </row>
    <row r="327" spans="2:21" ht="7.5" customHeight="1" x14ac:dyDescent="0.2">
      <c r="B327" s="80"/>
      <c r="C327" s="81"/>
      <c r="D327" s="82"/>
      <c r="E327" s="83"/>
      <c r="F327" s="84"/>
      <c r="G327" s="84"/>
      <c r="H327" s="84"/>
      <c r="I327" s="84"/>
      <c r="J327" s="84"/>
      <c r="K327" s="84"/>
      <c r="L327" s="126"/>
      <c r="M327" s="126"/>
      <c r="N327" s="126"/>
      <c r="O327" s="130"/>
      <c r="P327" s="130"/>
      <c r="Q327" s="130"/>
      <c r="R327" s="130"/>
      <c r="S327" s="130"/>
      <c r="T327" s="131"/>
      <c r="U327" s="131"/>
    </row>
    <row r="329" spans="2:21" x14ac:dyDescent="0.2">
      <c r="B329" s="76" t="s">
        <v>121</v>
      </c>
      <c r="C329" s="77">
        <v>42413</v>
      </c>
      <c r="D329" s="78" t="s">
        <v>129</v>
      </c>
      <c r="E329" s="79" t="s">
        <v>120</v>
      </c>
      <c r="F329" s="86" t="str">
        <f>Women1stDivLeague!A4</f>
        <v>W1L-01</v>
      </c>
      <c r="G329" s="86" t="str">
        <f>Women1stDivLeague!B4</f>
        <v>1st Round</v>
      </c>
      <c r="H329" s="86" t="str">
        <f>Women1stDivLeague!C4</f>
        <v>PLAYVOLLEY GENERAL MEMBRANE</v>
      </c>
      <c r="I329" s="86" t="str">
        <f>Women1stDivLeague!D4</f>
        <v>MGARR</v>
      </c>
      <c r="J329" s="86">
        <f>Women1stDivLeague!E4</f>
        <v>3</v>
      </c>
      <c r="K329" s="86">
        <f>Women1stDivLeague!F4</f>
        <v>0</v>
      </c>
      <c r="M329" s="126"/>
      <c r="N329" s="126"/>
      <c r="O329" s="130"/>
      <c r="P329" s="130"/>
      <c r="Q329" s="130"/>
      <c r="R329" s="130"/>
      <c r="S329" s="130"/>
      <c r="T329" s="131"/>
      <c r="U329" s="131"/>
    </row>
    <row r="330" spans="2:21" ht="7.5" customHeight="1" x14ac:dyDescent="0.2">
      <c r="B330" s="80"/>
      <c r="C330" s="81"/>
      <c r="D330" s="82"/>
      <c r="E330" s="83"/>
      <c r="F330" s="84"/>
      <c r="G330" s="84"/>
      <c r="H330" s="84"/>
      <c r="I330" s="84"/>
      <c r="J330" s="84"/>
      <c r="K330" s="84"/>
      <c r="L330" s="126"/>
      <c r="M330" s="126"/>
      <c r="N330" s="126"/>
      <c r="O330" s="130"/>
      <c r="P330" s="130"/>
      <c r="Q330" s="130"/>
      <c r="R330" s="130"/>
      <c r="S330" s="130"/>
      <c r="T330" s="131"/>
      <c r="U330" s="131"/>
    </row>
    <row r="331" spans="2:21" ht="15.75" x14ac:dyDescent="0.25">
      <c r="B331" s="76" t="s">
        <v>121</v>
      </c>
      <c r="C331" s="77">
        <v>42413</v>
      </c>
      <c r="D331" s="78" t="s">
        <v>130</v>
      </c>
      <c r="E331" s="79" t="s">
        <v>120</v>
      </c>
      <c r="F331" s="86" t="str">
        <f>Women1stDivLeague!A5</f>
        <v>W1L-02</v>
      </c>
      <c r="G331" s="86" t="str">
        <f>Women1stDivLeague!B5</f>
        <v>1st Round</v>
      </c>
      <c r="H331" s="86" t="str">
        <f>Women1stDivLeague!C5</f>
        <v>BIRKIRKARA</v>
      </c>
      <c r="I331" s="86" t="str">
        <f>Women1stDivLeague!D5</f>
        <v>SWIEQI PHOENIX</v>
      </c>
      <c r="J331" s="86">
        <f>Women1stDivLeague!E5</f>
        <v>2</v>
      </c>
      <c r="K331" s="86">
        <f>Women1stDivLeague!F5</f>
        <v>3</v>
      </c>
      <c r="L331" s="132" t="s">
        <v>139</v>
      </c>
      <c r="M331" s="126"/>
      <c r="N331" s="126"/>
      <c r="O331" s="130"/>
      <c r="P331" s="130"/>
      <c r="Q331" s="130"/>
      <c r="R331" s="130"/>
      <c r="S331" s="130"/>
      <c r="T331" s="131"/>
      <c r="U331" s="131"/>
    </row>
    <row r="332" spans="2:21" ht="7.5" customHeight="1" x14ac:dyDescent="0.2">
      <c r="B332" s="80"/>
      <c r="C332" s="81"/>
      <c r="D332" s="82"/>
      <c r="E332" s="83"/>
      <c r="F332" s="84"/>
      <c r="G332" s="84"/>
      <c r="H332" s="84"/>
      <c r="I332" s="84"/>
      <c r="J332" s="84"/>
      <c r="K332" s="84"/>
      <c r="L332" s="126"/>
      <c r="M332" s="126"/>
      <c r="N332" s="126"/>
      <c r="O332" s="130"/>
      <c r="P332" s="130"/>
      <c r="Q332" s="130"/>
      <c r="R332" s="130"/>
      <c r="S332" s="130"/>
      <c r="T332" s="131"/>
      <c r="U332" s="131"/>
    </row>
    <row r="333" spans="2:21" x14ac:dyDescent="0.2">
      <c r="B333" s="76" t="s">
        <v>121</v>
      </c>
      <c r="C333" s="77">
        <v>42413</v>
      </c>
      <c r="D333" s="85" t="s">
        <v>133</v>
      </c>
      <c r="E333" s="79" t="s">
        <v>120</v>
      </c>
      <c r="F333" s="86" t="str">
        <f>MenLeagueGames!A17</f>
        <v>ML-14</v>
      </c>
      <c r="G333" s="86" t="str">
        <f>MenLeagueGames!B17</f>
        <v>3rd Round</v>
      </c>
      <c r="H333" s="86" t="str">
        <f>MenLeagueGames!C17</f>
        <v>VALLETTA MAPEI</v>
      </c>
      <c r="I333" s="86" t="str">
        <f>MenLeagueGames!D17</f>
        <v>MGARR</v>
      </c>
      <c r="J333" s="86">
        <f>MenLeagueGames!E17</f>
        <v>3</v>
      </c>
      <c r="K333" s="86">
        <f>MenLeagueGames!F17</f>
        <v>0</v>
      </c>
    </row>
    <row r="334" spans="2:21" ht="7.5" customHeight="1" x14ac:dyDescent="0.2">
      <c r="B334" s="80"/>
      <c r="C334" s="81"/>
      <c r="D334" s="82"/>
      <c r="E334" s="83"/>
      <c r="F334" s="84"/>
      <c r="G334" s="84"/>
      <c r="H334" s="84"/>
      <c r="I334" s="84"/>
      <c r="J334" s="84"/>
      <c r="K334" s="84"/>
      <c r="L334" s="126"/>
      <c r="M334" s="126"/>
      <c r="N334" s="126"/>
      <c r="O334" s="130"/>
      <c r="P334" s="130"/>
      <c r="Q334" s="130"/>
      <c r="R334" s="130"/>
      <c r="S334" s="130"/>
      <c r="T334" s="131"/>
      <c r="U334" s="131"/>
    </row>
    <row r="336" spans="2:21" x14ac:dyDescent="0.2">
      <c r="B336" s="76" t="s">
        <v>124</v>
      </c>
      <c r="C336" s="77">
        <v>42414</v>
      </c>
      <c r="D336" s="85" t="s">
        <v>129</v>
      </c>
      <c r="E336" s="79" t="s">
        <v>120</v>
      </c>
      <c r="F336" s="86" t="str">
        <f>MenLeagueGames!A4</f>
        <v>ML-01</v>
      </c>
      <c r="G336" s="86" t="str">
        <f>MenLeagueGames!B4</f>
        <v>1st Round</v>
      </c>
      <c r="H336" s="86" t="str">
        <f>MenLeagueGames!C4</f>
        <v>FLEUR DE LYS TWISTEES</v>
      </c>
      <c r="I336" s="86" t="str">
        <f>MenLeagueGames!D4</f>
        <v>ALOYSIANS</v>
      </c>
      <c r="J336" s="86">
        <f>MenLeagueGames!E4</f>
        <v>2</v>
      </c>
      <c r="K336" s="86">
        <f>MenLeagueGames!F4</f>
        <v>3</v>
      </c>
      <c r="L336" s="126"/>
      <c r="M336" s="126"/>
      <c r="N336" s="126"/>
      <c r="O336" s="130"/>
      <c r="P336" s="130"/>
      <c r="Q336" s="130"/>
      <c r="R336" s="130"/>
      <c r="S336" s="130"/>
      <c r="T336" s="131"/>
      <c r="U336" s="131"/>
    </row>
    <row r="337" spans="2:21" ht="7.5" customHeight="1" x14ac:dyDescent="0.2">
      <c r="B337" s="80"/>
      <c r="C337" s="81"/>
      <c r="D337" s="82"/>
      <c r="E337" s="83"/>
      <c r="F337" s="84"/>
      <c r="G337" s="84"/>
      <c r="H337" s="84"/>
      <c r="I337" s="84"/>
      <c r="J337" s="84"/>
      <c r="K337" s="84"/>
      <c r="L337" s="126"/>
      <c r="M337" s="126"/>
      <c r="N337" s="126"/>
      <c r="O337" s="130"/>
      <c r="P337" s="130"/>
      <c r="Q337" s="130"/>
      <c r="R337" s="130"/>
      <c r="S337" s="130"/>
      <c r="T337" s="131"/>
      <c r="U337" s="131"/>
    </row>
    <row r="338" spans="2:21" x14ac:dyDescent="0.2">
      <c r="B338" s="76" t="s">
        <v>124</v>
      </c>
      <c r="C338" s="77">
        <v>42414</v>
      </c>
      <c r="D338" s="85" t="s">
        <v>130</v>
      </c>
      <c r="E338" s="79" t="s">
        <v>120</v>
      </c>
      <c r="F338" s="86" t="str">
        <f>WomenSuperLeague!A4</f>
        <v>WSL-01</v>
      </c>
      <c r="G338" s="86" t="str">
        <f>WomenSuperLeague!B4</f>
        <v>1st Round</v>
      </c>
      <c r="H338" s="86" t="str">
        <f>WomenSuperLeague!C4</f>
        <v>PAOLA</v>
      </c>
      <c r="I338" s="86" t="str">
        <f>WomenSuperLeague!D4</f>
        <v>MELLIEHA TRITONES</v>
      </c>
      <c r="J338" s="86">
        <f>WomenSuperLeague!E4</f>
        <v>3</v>
      </c>
      <c r="K338" s="86">
        <f>WomenSuperLeague!F4</f>
        <v>1</v>
      </c>
      <c r="L338" s="126"/>
      <c r="M338" s="126"/>
      <c r="N338" s="126"/>
      <c r="O338" s="130"/>
      <c r="P338" s="130"/>
      <c r="Q338" s="130"/>
      <c r="R338" s="130"/>
      <c r="S338" s="130"/>
      <c r="T338" s="131"/>
      <c r="U338" s="131"/>
    </row>
    <row r="339" spans="2:21" ht="7.5" customHeight="1" x14ac:dyDescent="0.2">
      <c r="B339" s="80"/>
      <c r="C339" s="81"/>
      <c r="D339" s="82"/>
      <c r="E339" s="83"/>
      <c r="F339" s="84"/>
      <c r="G339" s="84"/>
      <c r="H339" s="84"/>
      <c r="I339" s="84"/>
      <c r="J339" s="84"/>
      <c r="K339" s="84"/>
      <c r="L339" s="126"/>
      <c r="M339" s="126"/>
      <c r="N339" s="126"/>
      <c r="O339" s="130"/>
      <c r="P339" s="130"/>
      <c r="Q339" s="130"/>
      <c r="R339" s="130"/>
      <c r="S339" s="130"/>
      <c r="T339" s="131"/>
      <c r="U339" s="131"/>
    </row>
    <row r="340" spans="2:21" ht="15.75" x14ac:dyDescent="0.25">
      <c r="B340" s="76" t="s">
        <v>124</v>
      </c>
      <c r="C340" s="77">
        <v>42414</v>
      </c>
      <c r="D340" s="85" t="s">
        <v>133</v>
      </c>
      <c r="E340" s="79" t="s">
        <v>120</v>
      </c>
      <c r="F340" s="86" t="str">
        <f>WomenSuperLeague!A5</f>
        <v>WSL-02</v>
      </c>
      <c r="G340" s="86" t="str">
        <f>WomenSuperLeague!B5</f>
        <v>1st Round</v>
      </c>
      <c r="H340" s="86" t="str">
        <f>WomenSuperLeague!C5</f>
        <v>BALZAN FLYERS CROSSCRAFT 2</v>
      </c>
      <c r="I340" s="86" t="str">
        <f>WomenSuperLeague!D5</f>
        <v>FLEUR DE LYS TWISTEES</v>
      </c>
      <c r="J340" s="86">
        <f>WomenSuperLeague!E5</f>
        <v>0</v>
      </c>
      <c r="K340" s="86">
        <f>WomenSuperLeague!F5</f>
        <v>3</v>
      </c>
      <c r="L340" s="132" t="s">
        <v>139</v>
      </c>
    </row>
    <row r="341" spans="2:21" ht="7.5" customHeight="1" x14ac:dyDescent="0.2">
      <c r="B341" s="80"/>
      <c r="C341" s="81"/>
      <c r="D341" s="82"/>
      <c r="E341" s="83"/>
      <c r="F341" s="84"/>
      <c r="G341" s="84"/>
      <c r="H341" s="84"/>
      <c r="I341" s="84"/>
      <c r="J341" s="84"/>
      <c r="K341" s="84"/>
      <c r="L341" s="126"/>
      <c r="M341" s="126"/>
      <c r="N341" s="126"/>
      <c r="O341" s="130"/>
      <c r="P341" s="130"/>
      <c r="Q341" s="130"/>
      <c r="R341" s="130"/>
      <c r="S341" s="130"/>
      <c r="T341" s="131"/>
      <c r="U341" s="131"/>
    </row>
    <row r="343" spans="2:21" x14ac:dyDescent="0.2">
      <c r="B343" s="76" t="s">
        <v>121</v>
      </c>
      <c r="C343" s="77">
        <v>42420</v>
      </c>
      <c r="D343" s="78" t="s">
        <v>129</v>
      </c>
      <c r="E343" s="79" t="s">
        <v>120</v>
      </c>
      <c r="F343" s="86" t="str">
        <f>Women1stDivLeague!A6</f>
        <v>W1L-03</v>
      </c>
      <c r="G343" s="86" t="str">
        <f>Women1stDivLeague!B6</f>
        <v>1st Round</v>
      </c>
      <c r="H343" s="86" t="str">
        <f>Women1stDivLeague!C6</f>
        <v>PLAYVOLLEY GENERAL MEMBRANE</v>
      </c>
      <c r="I343" s="86" t="str">
        <f>Women1stDivLeague!D6</f>
        <v>SWIEQI PHOENIX</v>
      </c>
      <c r="J343" s="86">
        <f>Women1stDivLeague!E6</f>
        <v>3</v>
      </c>
      <c r="K343" s="86">
        <f>Women1stDivLeague!F6</f>
        <v>0</v>
      </c>
      <c r="M343" s="126"/>
      <c r="N343" s="126"/>
      <c r="O343" s="130"/>
      <c r="P343" s="130"/>
      <c r="Q343" s="130"/>
      <c r="R343" s="130"/>
      <c r="S343" s="130"/>
      <c r="T343" s="131"/>
      <c r="U343" s="131"/>
    </row>
    <row r="344" spans="2:21" ht="7.5" customHeight="1" x14ac:dyDescent="0.2">
      <c r="B344" s="80"/>
      <c r="C344" s="81"/>
      <c r="D344" s="82"/>
      <c r="E344" s="83"/>
      <c r="F344" s="84"/>
      <c r="G344" s="84"/>
      <c r="H344" s="84"/>
      <c r="I344" s="84"/>
      <c r="J344" s="84"/>
      <c r="K344" s="84"/>
      <c r="L344" s="126"/>
      <c r="M344" s="126"/>
      <c r="N344" s="126"/>
      <c r="O344" s="130"/>
      <c r="P344" s="130"/>
      <c r="Q344" s="130"/>
      <c r="R344" s="130"/>
      <c r="S344" s="130"/>
      <c r="T344" s="131"/>
      <c r="U344" s="131"/>
    </row>
    <row r="345" spans="2:21" x14ac:dyDescent="0.2">
      <c r="B345" s="76" t="s">
        <v>121</v>
      </c>
      <c r="C345" s="77">
        <v>42420</v>
      </c>
      <c r="D345" s="78" t="s">
        <v>130</v>
      </c>
      <c r="E345" s="79" t="s">
        <v>120</v>
      </c>
      <c r="F345" s="86" t="str">
        <f>Women1stDivLeague!A7</f>
        <v>W1L-04</v>
      </c>
      <c r="G345" s="86" t="str">
        <f>Women1stDivLeague!B7</f>
        <v>1st Round</v>
      </c>
      <c r="H345" s="86" t="str">
        <f>Women1stDivLeague!C7</f>
        <v>BIRKIRKARA</v>
      </c>
      <c r="I345" s="86" t="str">
        <f>Women1stDivLeague!D7</f>
        <v>SLIEMA WANDERERS</v>
      </c>
      <c r="J345" s="86">
        <f>Women1stDivLeague!E7</f>
        <v>0</v>
      </c>
      <c r="K345" s="86">
        <f>Women1stDivLeague!F7</f>
        <v>3</v>
      </c>
      <c r="L345" s="126"/>
      <c r="M345" s="126"/>
      <c r="N345" s="126"/>
      <c r="O345" s="130"/>
      <c r="P345" s="130"/>
      <c r="Q345" s="130"/>
      <c r="R345" s="130"/>
      <c r="S345" s="130"/>
      <c r="T345" s="131"/>
      <c r="U345" s="131"/>
    </row>
    <row r="346" spans="2:21" ht="7.5" customHeight="1" x14ac:dyDescent="0.2">
      <c r="B346" s="80"/>
      <c r="C346" s="81"/>
      <c r="D346" s="82"/>
      <c r="E346" s="83"/>
      <c r="F346" s="84"/>
      <c r="G346" s="84"/>
      <c r="H346" s="84"/>
      <c r="I346" s="84"/>
      <c r="J346" s="84"/>
      <c r="K346" s="84"/>
      <c r="L346" s="126"/>
      <c r="M346" s="126"/>
      <c r="N346" s="126"/>
      <c r="O346" s="130"/>
      <c r="P346" s="130"/>
      <c r="Q346" s="130"/>
      <c r="R346" s="130"/>
      <c r="S346" s="130"/>
      <c r="T346" s="131"/>
      <c r="U346" s="131"/>
    </row>
    <row r="347" spans="2:21" x14ac:dyDescent="0.2">
      <c r="B347" s="76" t="s">
        <v>121</v>
      </c>
      <c r="C347" s="77">
        <v>42420</v>
      </c>
      <c r="D347" s="85" t="s">
        <v>133</v>
      </c>
      <c r="E347" s="79" t="s">
        <v>120</v>
      </c>
      <c r="F347" s="86" t="str">
        <f>MenLeagueGames!A18</f>
        <v>ML-15</v>
      </c>
      <c r="G347" s="86" t="str">
        <f>MenLeagueGames!B18</f>
        <v>3rd Round</v>
      </c>
      <c r="H347" s="86" t="str">
        <f>MenLeagueGames!C18</f>
        <v>MGARR</v>
      </c>
      <c r="I347" s="86" t="str">
        <f>MenLeagueGames!D18</f>
        <v>FLEUR DE LYS TWISTEES</v>
      </c>
      <c r="J347" s="86">
        <f>MenLeagueGames!E18</f>
        <v>0</v>
      </c>
      <c r="K347" s="86">
        <f>MenLeagueGames!F18</f>
        <v>3</v>
      </c>
    </row>
    <row r="348" spans="2:21" ht="7.5" customHeight="1" x14ac:dyDescent="0.2">
      <c r="B348" s="80"/>
      <c r="C348" s="81"/>
      <c r="D348" s="82"/>
      <c r="E348" s="83"/>
      <c r="F348" s="84"/>
      <c r="G348" s="84"/>
      <c r="H348" s="84"/>
      <c r="I348" s="84"/>
      <c r="J348" s="84"/>
      <c r="K348" s="84"/>
      <c r="L348" s="126"/>
      <c r="M348" s="126"/>
      <c r="N348" s="126"/>
      <c r="O348" s="130"/>
      <c r="P348" s="130"/>
      <c r="Q348" s="130"/>
      <c r="R348" s="130"/>
      <c r="S348" s="130"/>
      <c r="T348" s="131"/>
      <c r="U348" s="131"/>
    </row>
    <row r="350" spans="2:21" x14ac:dyDescent="0.2">
      <c r="B350" s="76" t="s">
        <v>124</v>
      </c>
      <c r="C350" s="77">
        <v>42421</v>
      </c>
      <c r="D350" s="85" t="s">
        <v>129</v>
      </c>
      <c r="E350" s="79" t="s">
        <v>120</v>
      </c>
      <c r="F350" s="86" t="str">
        <f>WomenSuperLeague!A6</f>
        <v>WSL-03</v>
      </c>
      <c r="G350" s="86" t="str">
        <f>WomenSuperLeague!B6</f>
        <v>1st Round</v>
      </c>
      <c r="H350" s="86" t="str">
        <f>WomenSuperLeague!C6</f>
        <v>PAOLA</v>
      </c>
      <c r="I350" s="86" t="str">
        <f>WomenSuperLeague!D6</f>
        <v>FLEUR DE LYS TWISTEES</v>
      </c>
      <c r="J350" s="86">
        <f>WomenSuperLeague!E6</f>
        <v>3</v>
      </c>
      <c r="K350" s="86">
        <f>WomenSuperLeague!F6</f>
        <v>0</v>
      </c>
      <c r="L350" s="126"/>
      <c r="M350" s="126"/>
      <c r="N350" s="126"/>
      <c r="O350" s="130"/>
      <c r="P350" s="130"/>
      <c r="Q350" s="130"/>
      <c r="R350" s="130"/>
      <c r="S350" s="130"/>
      <c r="T350" s="131"/>
      <c r="U350" s="131"/>
    </row>
    <row r="351" spans="2:21" ht="7.5" customHeight="1" x14ac:dyDescent="0.2">
      <c r="B351" s="80"/>
      <c r="C351" s="81"/>
      <c r="D351" s="82"/>
      <c r="E351" s="83"/>
      <c r="F351" s="84"/>
      <c r="G351" s="84"/>
      <c r="H351" s="84"/>
      <c r="I351" s="84"/>
      <c r="J351" s="84"/>
      <c r="K351" s="84"/>
      <c r="L351" s="126"/>
      <c r="M351" s="126"/>
      <c r="N351" s="126"/>
      <c r="O351" s="130"/>
      <c r="P351" s="130"/>
      <c r="Q351" s="130"/>
      <c r="R351" s="130"/>
      <c r="S351" s="130"/>
      <c r="T351" s="131"/>
      <c r="U351" s="131"/>
    </row>
    <row r="352" spans="2:21" x14ac:dyDescent="0.2">
      <c r="B352" s="76" t="s">
        <v>124</v>
      </c>
      <c r="C352" s="77">
        <v>42421</v>
      </c>
      <c r="D352" s="85" t="s">
        <v>130</v>
      </c>
      <c r="E352" s="79" t="s">
        <v>120</v>
      </c>
      <c r="F352" s="86" t="str">
        <f>WomenSuperLeague!A7</f>
        <v>WSL-04</v>
      </c>
      <c r="G352" s="86" t="str">
        <f>WomenSuperLeague!B7</f>
        <v>1st Round</v>
      </c>
      <c r="H352" s="86" t="str">
        <f>WomenSuperLeague!C7</f>
        <v>BALZAN FLYERS CROSSCRAFT 2</v>
      </c>
      <c r="I352" s="86" t="str">
        <f>WomenSuperLeague!D7</f>
        <v>BALZAN FLYERS CROSSCRAFT</v>
      </c>
      <c r="J352" s="86">
        <f>WomenSuperLeague!E7</f>
        <v>0</v>
      </c>
      <c r="K352" s="86">
        <f>WomenSuperLeague!F7</f>
        <v>3</v>
      </c>
      <c r="L352" s="126"/>
      <c r="M352" s="126"/>
      <c r="N352" s="126"/>
      <c r="O352" s="130"/>
      <c r="P352" s="130"/>
      <c r="Q352" s="130"/>
      <c r="R352" s="130"/>
      <c r="S352" s="130"/>
      <c r="T352" s="131"/>
      <c r="U352" s="131"/>
    </row>
    <row r="353" spans="2:21" ht="7.5" customHeight="1" x14ac:dyDescent="0.2">
      <c r="B353" s="80"/>
      <c r="C353" s="81"/>
      <c r="D353" s="82"/>
      <c r="E353" s="83"/>
      <c r="F353" s="84"/>
      <c r="G353" s="84"/>
      <c r="H353" s="84"/>
      <c r="I353" s="84"/>
      <c r="J353" s="84"/>
      <c r="K353" s="84"/>
      <c r="L353" s="126"/>
      <c r="M353" s="126"/>
      <c r="N353" s="126"/>
      <c r="O353" s="130"/>
      <c r="P353" s="130"/>
      <c r="Q353" s="130"/>
      <c r="R353" s="130"/>
      <c r="S353" s="130"/>
      <c r="T353" s="131"/>
      <c r="U353" s="131"/>
    </row>
    <row r="354" spans="2:21" x14ac:dyDescent="0.2">
      <c r="B354" s="76" t="s">
        <v>124</v>
      </c>
      <c r="C354" s="77">
        <v>42421</v>
      </c>
      <c r="D354" s="85" t="s">
        <v>133</v>
      </c>
      <c r="E354" s="79" t="s">
        <v>120</v>
      </c>
      <c r="F354" s="86" t="str">
        <f>MenLeagueGames!A13</f>
        <v>ML-10</v>
      </c>
      <c r="G354" s="86" t="str">
        <f>MenLeagueGames!B13</f>
        <v>2nd Round</v>
      </c>
      <c r="H354" s="86" t="str">
        <f>MenLeagueGames!C13</f>
        <v>ALOYSIANS</v>
      </c>
      <c r="I354" s="86" t="str">
        <f>MenLeagueGames!D13</f>
        <v>VALLETTA MAPEI</v>
      </c>
      <c r="J354" s="86">
        <f>MenLeagueGames!E13</f>
        <v>1</v>
      </c>
      <c r="K354" s="86">
        <f>MenLeagueGames!F13</f>
        <v>3</v>
      </c>
    </row>
    <row r="355" spans="2:21" ht="7.5" customHeight="1" x14ac:dyDescent="0.2">
      <c r="B355" s="80"/>
      <c r="C355" s="81"/>
      <c r="D355" s="82"/>
      <c r="E355" s="83"/>
      <c r="F355" s="84"/>
      <c r="G355" s="84"/>
      <c r="H355" s="84"/>
      <c r="I355" s="84"/>
      <c r="J355" s="84"/>
      <c r="K355" s="84"/>
      <c r="L355" s="126"/>
      <c r="M355" s="126"/>
      <c r="N355" s="126"/>
      <c r="O355" s="130"/>
      <c r="P355" s="130"/>
      <c r="Q355" s="130"/>
      <c r="R355" s="130"/>
      <c r="S355" s="130"/>
      <c r="T355" s="131"/>
      <c r="U355" s="131"/>
    </row>
    <row r="357" spans="2:21" x14ac:dyDescent="0.2">
      <c r="B357" s="76" t="s">
        <v>121</v>
      </c>
      <c r="C357" s="77">
        <v>42427</v>
      </c>
      <c r="D357" s="85" t="s">
        <v>129</v>
      </c>
      <c r="E357" s="79" t="s">
        <v>120</v>
      </c>
      <c r="F357" s="86" t="str">
        <f>MenLeagueGames!A12</f>
        <v>ML-09</v>
      </c>
      <c r="G357" s="86" t="str">
        <f>MenLeagueGames!B12</f>
        <v>2nd Round</v>
      </c>
      <c r="H357" s="86" t="str">
        <f>MenLeagueGames!C12</f>
        <v>MGARR</v>
      </c>
      <c r="I357" s="86" t="str">
        <f>MenLeagueGames!D12</f>
        <v>FLEUR DE LYS TWISTEES</v>
      </c>
      <c r="J357" s="86">
        <f>MenLeagueGames!E12</f>
        <v>1</v>
      </c>
      <c r="K357" s="86">
        <f>MenLeagueGames!F12</f>
        <v>3</v>
      </c>
      <c r="M357" s="126"/>
      <c r="N357" s="126"/>
      <c r="O357" s="130"/>
      <c r="P357" s="130"/>
      <c r="Q357" s="130"/>
      <c r="R357" s="130"/>
      <c r="S357" s="130"/>
      <c r="T357" s="131"/>
      <c r="U357" s="131"/>
    </row>
    <row r="358" spans="2:21" ht="7.5" customHeight="1" x14ac:dyDescent="0.2">
      <c r="B358" s="80"/>
      <c r="C358" s="81"/>
      <c r="D358" s="82"/>
      <c r="E358" s="83"/>
      <c r="F358" s="84"/>
      <c r="G358" s="84"/>
      <c r="H358" s="84"/>
      <c r="I358" s="84"/>
      <c r="J358" s="84"/>
      <c r="K358" s="84"/>
      <c r="L358" s="126"/>
      <c r="M358" s="126"/>
      <c r="N358" s="126"/>
      <c r="O358" s="130"/>
      <c r="P358" s="130"/>
      <c r="Q358" s="130"/>
      <c r="R358" s="130"/>
      <c r="S358" s="130"/>
      <c r="T358" s="131"/>
      <c r="U358" s="131"/>
    </row>
    <row r="359" spans="2:21" x14ac:dyDescent="0.2">
      <c r="B359" s="76" t="s">
        <v>121</v>
      </c>
      <c r="C359" s="77">
        <v>42427</v>
      </c>
      <c r="D359" s="85" t="s">
        <v>130</v>
      </c>
      <c r="E359" s="79" t="s">
        <v>120</v>
      </c>
      <c r="F359" s="86" t="str">
        <f>Women1stDivLeague!A8</f>
        <v>W1L-05</v>
      </c>
      <c r="G359" s="86" t="str">
        <f>Women1stDivLeague!B8</f>
        <v>1st Round</v>
      </c>
      <c r="H359" s="86" t="str">
        <f>Women1stDivLeague!C8</f>
        <v>SLIEMA WANDERERS</v>
      </c>
      <c r="I359" s="86" t="str">
        <f>Women1stDivLeague!D8</f>
        <v>MGARR</v>
      </c>
      <c r="J359" s="86">
        <f>Women1stDivLeague!E8</f>
        <v>3</v>
      </c>
      <c r="K359" s="86">
        <f>Women1stDivLeague!F8</f>
        <v>1</v>
      </c>
      <c r="L359" s="126"/>
      <c r="M359" s="126"/>
      <c r="N359" s="126"/>
      <c r="O359" s="130"/>
      <c r="P359" s="130"/>
      <c r="Q359" s="130"/>
      <c r="R359" s="130"/>
      <c r="S359" s="130"/>
      <c r="T359" s="131"/>
      <c r="U359" s="131"/>
    </row>
    <row r="360" spans="2:21" ht="7.5" customHeight="1" x14ac:dyDescent="0.2">
      <c r="B360" s="80"/>
      <c r="C360" s="81"/>
      <c r="D360" s="82"/>
      <c r="E360" s="83"/>
      <c r="F360" s="84"/>
      <c r="G360" s="84"/>
      <c r="H360" s="84"/>
      <c r="I360" s="84"/>
      <c r="J360" s="84"/>
      <c r="K360" s="84"/>
      <c r="L360" s="126"/>
      <c r="M360" s="126"/>
      <c r="N360" s="126"/>
      <c r="O360" s="130"/>
      <c r="P360" s="130"/>
      <c r="Q360" s="130"/>
      <c r="R360" s="130"/>
      <c r="S360" s="130"/>
      <c r="T360" s="131"/>
      <c r="U360" s="131"/>
    </row>
    <row r="361" spans="2:21" x14ac:dyDescent="0.2">
      <c r="B361" s="76" t="s">
        <v>121</v>
      </c>
      <c r="C361" s="77">
        <v>42427</v>
      </c>
      <c r="D361" s="85" t="s">
        <v>133</v>
      </c>
      <c r="E361" s="79" t="s">
        <v>120</v>
      </c>
      <c r="F361" s="86" t="str">
        <f>Women1stDivLeague!A9</f>
        <v>W1L-06</v>
      </c>
      <c r="G361" s="86" t="str">
        <f>Women1stDivLeague!B9</f>
        <v>1st Round</v>
      </c>
      <c r="H361" s="86" t="str">
        <f>Women1stDivLeague!C9</f>
        <v>BIRKIRKARA</v>
      </c>
      <c r="I361" s="86" t="str">
        <f>Women1stDivLeague!D9</f>
        <v>PLAYVOLLEY GENERAL MEMBRANE</v>
      </c>
      <c r="J361" s="86">
        <f>Women1stDivLeague!E9</f>
        <v>0</v>
      </c>
      <c r="K361" s="86">
        <f>Women1stDivLeague!F9</f>
        <v>3</v>
      </c>
    </row>
    <row r="362" spans="2:21" ht="7.5" customHeight="1" x14ac:dyDescent="0.2">
      <c r="B362" s="80"/>
      <c r="C362" s="81"/>
      <c r="D362" s="82"/>
      <c r="E362" s="83"/>
      <c r="F362" s="84"/>
      <c r="G362" s="84"/>
      <c r="H362" s="84"/>
      <c r="I362" s="84"/>
      <c r="J362" s="84"/>
      <c r="K362" s="84"/>
      <c r="L362" s="126"/>
      <c r="M362" s="126"/>
      <c r="N362" s="126"/>
      <c r="O362" s="130"/>
      <c r="P362" s="130"/>
      <c r="Q362" s="130"/>
      <c r="R362" s="130"/>
      <c r="S362" s="130"/>
      <c r="T362" s="131"/>
      <c r="U362" s="131"/>
    </row>
    <row r="364" spans="2:21" x14ac:dyDescent="0.2">
      <c r="B364" s="76" t="s">
        <v>124</v>
      </c>
      <c r="C364" s="77">
        <v>42428</v>
      </c>
      <c r="D364" s="85" t="s">
        <v>129</v>
      </c>
      <c r="E364" s="79" t="s">
        <v>120</v>
      </c>
      <c r="F364" s="86" t="str">
        <f>MenLeagueGames!A19</f>
        <v>ML-16</v>
      </c>
      <c r="G364" s="86" t="str">
        <f>MenLeagueGames!B19</f>
        <v>3rd Round</v>
      </c>
      <c r="H364" s="86" t="str">
        <f>MenLeagueGames!C19</f>
        <v>ALOYSIANS</v>
      </c>
      <c r="I364" s="86" t="str">
        <f>MenLeagueGames!D19</f>
        <v>VALLETTA MAPEI</v>
      </c>
      <c r="J364" s="86">
        <f>MenLeagueGames!E19</f>
        <v>1</v>
      </c>
      <c r="K364" s="86">
        <f>MenLeagueGames!F19</f>
        <v>3</v>
      </c>
      <c r="L364" s="126"/>
      <c r="M364" s="126"/>
      <c r="N364" s="126"/>
      <c r="O364" s="130"/>
      <c r="P364" s="130"/>
      <c r="Q364" s="130"/>
      <c r="R364" s="130"/>
      <c r="S364" s="130"/>
      <c r="T364" s="131"/>
      <c r="U364" s="131"/>
    </row>
    <row r="365" spans="2:21" ht="7.5" customHeight="1" x14ac:dyDescent="0.2">
      <c r="B365" s="80"/>
      <c r="C365" s="81"/>
      <c r="D365" s="82"/>
      <c r="E365" s="83"/>
      <c r="F365" s="84"/>
      <c r="G365" s="84"/>
      <c r="H365" s="84"/>
      <c r="I365" s="84"/>
      <c r="J365" s="84"/>
      <c r="K365" s="84"/>
      <c r="L365" s="126"/>
      <c r="M365" s="126"/>
      <c r="N365" s="126"/>
      <c r="O365" s="130"/>
      <c r="P365" s="130"/>
      <c r="Q365" s="130"/>
      <c r="R365" s="130"/>
      <c r="S365" s="130"/>
      <c r="T365" s="131"/>
      <c r="U365" s="131"/>
    </row>
    <row r="366" spans="2:21" x14ac:dyDescent="0.2">
      <c r="B366" s="76" t="s">
        <v>124</v>
      </c>
      <c r="C366" s="77">
        <v>42428</v>
      </c>
      <c r="D366" s="85" t="s">
        <v>130</v>
      </c>
      <c r="E366" s="79" t="s">
        <v>120</v>
      </c>
      <c r="F366" s="86" t="str">
        <f>WomenSuperLeague!A8</f>
        <v>WSL-05</v>
      </c>
      <c r="G366" s="86" t="str">
        <f>WomenSuperLeague!B8</f>
        <v>1st Round</v>
      </c>
      <c r="H366" s="86" t="str">
        <f>WomenSuperLeague!C8</f>
        <v>BALZAN FLYERS CROSSCRAFT</v>
      </c>
      <c r="I366" s="86" t="str">
        <f>WomenSuperLeague!D8</f>
        <v>MELLIEHA TRITONES</v>
      </c>
      <c r="J366" s="86">
        <f>WomenSuperLeague!E8</f>
        <v>3</v>
      </c>
      <c r="K366" s="86">
        <f>WomenSuperLeague!F8</f>
        <v>0</v>
      </c>
      <c r="L366" s="126"/>
      <c r="M366" s="126"/>
      <c r="N366" s="126"/>
      <c r="O366" s="130"/>
      <c r="P366" s="130"/>
      <c r="Q366" s="130"/>
      <c r="R366" s="130"/>
      <c r="S366" s="130"/>
      <c r="T366" s="131"/>
      <c r="U366" s="131"/>
    </row>
    <row r="367" spans="2:21" ht="7.5" customHeight="1" x14ac:dyDescent="0.2">
      <c r="B367" s="80"/>
      <c r="C367" s="81"/>
      <c r="D367" s="82"/>
      <c r="E367" s="83"/>
      <c r="F367" s="84"/>
      <c r="G367" s="84"/>
      <c r="H367" s="84"/>
      <c r="I367" s="84"/>
      <c r="J367" s="84"/>
      <c r="K367" s="84"/>
      <c r="L367" s="126"/>
      <c r="M367" s="126"/>
      <c r="N367" s="126"/>
      <c r="O367" s="130"/>
      <c r="P367" s="130"/>
      <c r="Q367" s="130"/>
      <c r="R367" s="130"/>
      <c r="S367" s="130"/>
      <c r="T367" s="131"/>
      <c r="U367" s="131"/>
    </row>
    <row r="368" spans="2:21" x14ac:dyDescent="0.2">
      <c r="B368" s="76" t="s">
        <v>124</v>
      </c>
      <c r="C368" s="77">
        <v>42428</v>
      </c>
      <c r="D368" s="85" t="s">
        <v>133</v>
      </c>
      <c r="E368" s="79" t="s">
        <v>120</v>
      </c>
      <c r="F368" s="86" t="str">
        <f>WomenSuperLeague!A9</f>
        <v>WSL-06</v>
      </c>
      <c r="G368" s="86" t="str">
        <f>WomenSuperLeague!B9</f>
        <v>1st Round</v>
      </c>
      <c r="H368" s="86" t="str">
        <f>WomenSuperLeague!C9</f>
        <v>BALZAN FLYERS CROSSCRAFT 2</v>
      </c>
      <c r="I368" s="86" t="str">
        <f>WomenSuperLeague!D9</f>
        <v>PAOLA</v>
      </c>
      <c r="J368" s="86">
        <f>WomenSuperLeague!E9</f>
        <v>1</v>
      </c>
      <c r="K368" s="86">
        <f>WomenSuperLeague!F9</f>
        <v>3</v>
      </c>
    </row>
    <row r="369" spans="1:21" ht="7.5" customHeight="1" x14ac:dyDescent="0.2">
      <c r="B369" s="80"/>
      <c r="C369" s="81"/>
      <c r="D369" s="82"/>
      <c r="E369" s="83"/>
      <c r="F369" s="84"/>
      <c r="G369" s="84"/>
      <c r="H369" s="84"/>
      <c r="I369" s="84"/>
      <c r="J369" s="84"/>
      <c r="K369" s="84"/>
      <c r="L369" s="126"/>
      <c r="M369" s="126"/>
      <c r="N369" s="126"/>
      <c r="O369" s="130"/>
      <c r="P369" s="130"/>
      <c r="Q369" s="130"/>
      <c r="R369" s="130"/>
      <c r="S369" s="130"/>
      <c r="T369" s="131"/>
      <c r="U369" s="131"/>
    </row>
    <row r="371" spans="1:21" ht="26.25" x14ac:dyDescent="0.4">
      <c r="A371" s="242" t="s">
        <v>156</v>
      </c>
      <c r="B371" s="242"/>
      <c r="C371" s="242"/>
      <c r="D371" s="242"/>
      <c r="E371" s="242"/>
      <c r="F371" s="242"/>
      <c r="G371" s="242"/>
      <c r="H371" s="242"/>
      <c r="I371" s="242"/>
      <c r="J371" s="242"/>
      <c r="K371" s="242"/>
    </row>
    <row r="373" spans="1:21" ht="15.75" x14ac:dyDescent="0.25">
      <c r="B373" s="111" t="s">
        <v>121</v>
      </c>
      <c r="C373" s="112">
        <v>42434</v>
      </c>
      <c r="D373" s="121" t="s">
        <v>129</v>
      </c>
      <c r="E373" s="114" t="s">
        <v>120</v>
      </c>
      <c r="F373" s="115" t="str">
        <f>WomenUnder18!A13</f>
        <v>WU18L-10</v>
      </c>
      <c r="G373" s="115" t="str">
        <f>WomenUnder18!B13</f>
        <v>4th Round</v>
      </c>
      <c r="H373" s="115" t="str">
        <f>WomenUnder18!C13</f>
        <v>BALZAN FLYERS CROSSCRAFT</v>
      </c>
      <c r="I373" s="115" t="str">
        <f>WomenUnder18!D13</f>
        <v>SWIEQI PHOENIX</v>
      </c>
      <c r="J373" s="115">
        <f>WomenUnder18!E13</f>
        <v>0</v>
      </c>
      <c r="K373" s="115">
        <f>WomenUnder18!F13</f>
        <v>3</v>
      </c>
      <c r="L373" s="132" t="s">
        <v>139</v>
      </c>
    </row>
    <row r="374" spans="1:21" ht="7.5" customHeight="1" x14ac:dyDescent="0.2">
      <c r="B374" s="116"/>
      <c r="C374" s="117"/>
      <c r="D374" s="118"/>
      <c r="E374" s="119"/>
      <c r="F374" s="120"/>
      <c r="G374" s="120"/>
      <c r="H374" s="120"/>
      <c r="I374" s="120"/>
      <c r="J374" s="120"/>
      <c r="K374" s="120"/>
      <c r="L374" s="126"/>
      <c r="M374" s="126"/>
      <c r="N374" s="126"/>
      <c r="O374" s="130"/>
      <c r="P374" s="130"/>
      <c r="Q374" s="130"/>
      <c r="R374" s="130"/>
      <c r="S374" s="130"/>
      <c r="T374" s="131"/>
      <c r="U374" s="131"/>
    </row>
    <row r="375" spans="1:21" x14ac:dyDescent="0.2">
      <c r="B375" s="76" t="s">
        <v>121</v>
      </c>
      <c r="C375" s="77">
        <v>42434</v>
      </c>
      <c r="D375" s="78" t="s">
        <v>130</v>
      </c>
      <c r="E375" s="79" t="s">
        <v>120</v>
      </c>
      <c r="F375" s="86" t="str">
        <f>Women1stDivLeague!A10</f>
        <v>W1L-07</v>
      </c>
      <c r="G375" s="86" t="str">
        <f>Women1stDivLeague!B10</f>
        <v>1st Round</v>
      </c>
      <c r="H375" s="86" t="str">
        <f>Women1stDivLeague!C10</f>
        <v>SWIEQI PHOENIX</v>
      </c>
      <c r="I375" s="86" t="str">
        <f>Women1stDivLeague!D10</f>
        <v>SLIEMA WANDERERS</v>
      </c>
      <c r="J375" s="86">
        <f>Women1stDivLeague!E10</f>
        <v>0</v>
      </c>
      <c r="K375" s="86">
        <f>Women1stDivLeague!F10</f>
        <v>3</v>
      </c>
      <c r="L375" s="126"/>
      <c r="M375" s="126"/>
      <c r="N375" s="126"/>
      <c r="O375" s="130"/>
      <c r="P375" s="130"/>
      <c r="Q375" s="130"/>
      <c r="R375" s="130"/>
      <c r="S375" s="130"/>
      <c r="T375" s="131"/>
      <c r="U375" s="131"/>
    </row>
    <row r="376" spans="1:21" ht="7.5" customHeight="1" x14ac:dyDescent="0.2">
      <c r="B376" s="80"/>
      <c r="C376" s="81"/>
      <c r="D376" s="82"/>
      <c r="E376" s="83"/>
      <c r="F376" s="84"/>
      <c r="G376" s="84"/>
      <c r="H376" s="84"/>
      <c r="I376" s="84"/>
      <c r="J376" s="84"/>
      <c r="K376" s="84"/>
      <c r="L376" s="126"/>
      <c r="M376" s="126"/>
      <c r="N376" s="126"/>
      <c r="O376" s="130"/>
      <c r="P376" s="130"/>
      <c r="Q376" s="130"/>
      <c r="R376" s="130"/>
      <c r="S376" s="130"/>
      <c r="T376" s="131"/>
      <c r="U376" s="131"/>
    </row>
    <row r="377" spans="1:21" x14ac:dyDescent="0.2">
      <c r="B377" s="76" t="s">
        <v>121</v>
      </c>
      <c r="C377" s="77">
        <v>42434</v>
      </c>
      <c r="D377" s="85" t="s">
        <v>133</v>
      </c>
      <c r="E377" s="79" t="s">
        <v>120</v>
      </c>
      <c r="F377" s="86" t="str">
        <f>MenLeagueGames!A20</f>
        <v>ML-17</v>
      </c>
      <c r="G377" s="86" t="str">
        <f>MenLeagueGames!B20</f>
        <v>3rd Round</v>
      </c>
      <c r="H377" s="86" t="str">
        <f>MenLeagueGames!C20</f>
        <v>FLEUR DE LYS TWISTEES</v>
      </c>
      <c r="I377" s="86" t="str">
        <f>MenLeagueGames!D20</f>
        <v>VALLETTA MAPEI</v>
      </c>
      <c r="J377" s="86">
        <f>MenLeagueGames!E20</f>
        <v>1</v>
      </c>
      <c r="K377" s="86">
        <f>MenLeagueGames!F20</f>
        <v>3</v>
      </c>
    </row>
    <row r="378" spans="1:21" ht="7.5" customHeight="1" x14ac:dyDescent="0.2">
      <c r="B378" s="80"/>
      <c r="C378" s="81"/>
      <c r="D378" s="82"/>
      <c r="E378" s="83"/>
      <c r="F378" s="84"/>
      <c r="G378" s="84"/>
      <c r="H378" s="84"/>
      <c r="I378" s="84"/>
      <c r="J378" s="84"/>
      <c r="K378" s="84"/>
      <c r="L378" s="126"/>
      <c r="M378" s="126"/>
      <c r="N378" s="126"/>
      <c r="O378" s="130"/>
      <c r="P378" s="130"/>
      <c r="Q378" s="130"/>
      <c r="R378" s="130"/>
      <c r="S378" s="130"/>
      <c r="T378" s="131"/>
      <c r="U378" s="131"/>
    </row>
    <row r="380" spans="1:21" x14ac:dyDescent="0.2">
      <c r="B380" s="111" t="s">
        <v>124</v>
      </c>
      <c r="C380" s="112">
        <v>42435</v>
      </c>
      <c r="D380" s="121" t="s">
        <v>140</v>
      </c>
      <c r="E380" s="114" t="s">
        <v>120</v>
      </c>
      <c r="F380" s="115" t="str">
        <f>WomenUnder16!A16</f>
        <v>WU16L-13</v>
      </c>
      <c r="G380" s="115" t="str">
        <f>WomenUnder16!B16</f>
        <v>3rd Round</v>
      </c>
      <c r="H380" s="115" t="str">
        <f>WomenUnder16!C16</f>
        <v>PAOLA</v>
      </c>
      <c r="I380" s="115" t="str">
        <f>WomenUnder16!D16</f>
        <v>BALZAN FLYERS CROSSCRAFT</v>
      </c>
      <c r="J380" s="115">
        <f>WomenUnder16!E16</f>
        <v>1</v>
      </c>
      <c r="K380" s="115">
        <f>WomenUnder16!F16</f>
        <v>3</v>
      </c>
      <c r="L380" s="126"/>
      <c r="M380" s="126"/>
      <c r="N380" s="126"/>
      <c r="O380" s="130"/>
      <c r="P380" s="130"/>
      <c r="Q380" s="130"/>
      <c r="R380" s="130"/>
      <c r="S380" s="130"/>
      <c r="T380" s="131"/>
      <c r="U380" s="131"/>
    </row>
    <row r="381" spans="1:21" ht="7.5" customHeight="1" x14ac:dyDescent="0.2">
      <c r="B381" s="116"/>
      <c r="C381" s="117"/>
      <c r="D381" s="118"/>
      <c r="E381" s="119"/>
      <c r="F381" s="120"/>
      <c r="G381" s="120"/>
      <c r="H381" s="120"/>
      <c r="I381" s="120"/>
      <c r="J381" s="120"/>
      <c r="K381" s="120"/>
      <c r="L381" s="126"/>
      <c r="M381" s="126"/>
      <c r="N381" s="126"/>
      <c r="O381" s="130"/>
      <c r="P381" s="130"/>
      <c r="Q381" s="130"/>
      <c r="R381" s="130"/>
      <c r="S381" s="130"/>
      <c r="T381" s="131"/>
      <c r="U381" s="131"/>
    </row>
    <row r="382" spans="1:21" x14ac:dyDescent="0.2">
      <c r="B382" s="111" t="s">
        <v>124</v>
      </c>
      <c r="C382" s="112">
        <v>42435</v>
      </c>
      <c r="D382" s="121" t="s">
        <v>140</v>
      </c>
      <c r="E382" s="114" t="s">
        <v>120</v>
      </c>
      <c r="F382" s="115" t="str">
        <f>WomenUnder16!A17</f>
        <v>WU16L-14</v>
      </c>
      <c r="G382" s="115" t="str">
        <f>WomenUnder16!B17</f>
        <v>3rd Round</v>
      </c>
      <c r="H382" s="115" t="str">
        <f>WomenUnder16!C17</f>
        <v>SWIEQI PHOENIX</v>
      </c>
      <c r="I382" s="115" t="str">
        <f>WomenUnder16!D17</f>
        <v>FLEUR DE LYS TWISTEES</v>
      </c>
      <c r="J382" s="115">
        <f>WomenUnder16!E17</f>
        <v>3</v>
      </c>
      <c r="K382" s="115">
        <f>WomenUnder16!F17</f>
        <v>0</v>
      </c>
      <c r="L382" s="126"/>
      <c r="M382" s="126"/>
      <c r="N382" s="126"/>
      <c r="O382" s="130"/>
      <c r="P382" s="130"/>
      <c r="Q382" s="130"/>
      <c r="R382" s="130"/>
      <c r="S382" s="130"/>
      <c r="T382" s="131"/>
      <c r="U382" s="131"/>
    </row>
    <row r="383" spans="1:21" ht="7.5" customHeight="1" x14ac:dyDescent="0.2">
      <c r="B383" s="116"/>
      <c r="C383" s="117"/>
      <c r="D383" s="118"/>
      <c r="E383" s="119"/>
      <c r="F383" s="120"/>
      <c r="G383" s="120"/>
      <c r="H383" s="120"/>
      <c r="I383" s="120"/>
      <c r="J383" s="120"/>
      <c r="K383" s="120"/>
      <c r="L383" s="126"/>
      <c r="M383" s="126"/>
      <c r="N383" s="126"/>
      <c r="O383" s="130"/>
      <c r="P383" s="130"/>
      <c r="Q383" s="130"/>
      <c r="R383" s="130"/>
      <c r="S383" s="130"/>
      <c r="T383" s="131"/>
      <c r="U383" s="131"/>
    </row>
    <row r="384" spans="1:21" x14ac:dyDescent="0.2">
      <c r="B384" s="76" t="s">
        <v>124</v>
      </c>
      <c r="C384" s="77">
        <v>42435</v>
      </c>
      <c r="D384" s="85" t="s">
        <v>129</v>
      </c>
      <c r="E384" s="79" t="s">
        <v>120</v>
      </c>
      <c r="F384" s="86" t="str">
        <f>Women1stDivLeague!A11</f>
        <v>W1L-08</v>
      </c>
      <c r="G384" s="86" t="str">
        <f>Women1stDivLeague!B11</f>
        <v>1st Round</v>
      </c>
      <c r="H384" s="86" t="str">
        <f>Women1stDivLeague!C11</f>
        <v>MGARR</v>
      </c>
      <c r="I384" s="86" t="str">
        <f>Women1stDivLeague!D11</f>
        <v>BIRKIRKARA</v>
      </c>
      <c r="J384" s="86">
        <f>Women1stDivLeague!E11</f>
        <v>0</v>
      </c>
      <c r="K384" s="86">
        <f>Women1stDivLeague!F11</f>
        <v>3</v>
      </c>
      <c r="L384" s="126"/>
      <c r="M384" s="126"/>
      <c r="N384" s="126"/>
      <c r="O384" s="130"/>
      <c r="P384" s="130"/>
      <c r="Q384" s="130"/>
      <c r="R384" s="130"/>
      <c r="S384" s="130"/>
      <c r="T384" s="131"/>
      <c r="U384" s="131"/>
    </row>
    <row r="385" spans="2:21" ht="7.5" customHeight="1" x14ac:dyDescent="0.2">
      <c r="B385" s="80"/>
      <c r="C385" s="81"/>
      <c r="D385" s="82"/>
      <c r="E385" s="83"/>
      <c r="F385" s="84"/>
      <c r="G385" s="84"/>
      <c r="H385" s="84"/>
      <c r="I385" s="84"/>
      <c r="J385" s="84"/>
      <c r="K385" s="84"/>
      <c r="L385" s="126"/>
      <c r="M385" s="126"/>
      <c r="N385" s="126"/>
      <c r="O385" s="130"/>
      <c r="P385" s="130"/>
      <c r="Q385" s="130"/>
      <c r="R385" s="130"/>
      <c r="S385" s="130"/>
      <c r="T385" s="131"/>
      <c r="U385" s="131"/>
    </row>
    <row r="386" spans="2:21" x14ac:dyDescent="0.2">
      <c r="B386" s="76" t="s">
        <v>124</v>
      </c>
      <c r="C386" s="77">
        <v>42435</v>
      </c>
      <c r="D386" s="85" t="s">
        <v>130</v>
      </c>
      <c r="E386" s="79" t="s">
        <v>120</v>
      </c>
      <c r="F386" s="86" t="str">
        <f>WomenSuperLeague!A10</f>
        <v>WSL-07</v>
      </c>
      <c r="G386" s="86" t="str">
        <f>WomenSuperLeague!B10</f>
        <v>1st Round</v>
      </c>
      <c r="H386" s="86" t="str">
        <f>WomenSuperLeague!C10</f>
        <v>FLEUR DE LYS TWISTEES</v>
      </c>
      <c r="I386" s="86" t="str">
        <f>WomenSuperLeague!D10</f>
        <v>BALZAN FLYERS CROSSCRAFT</v>
      </c>
      <c r="J386" s="86">
        <f>WomenSuperLeague!E10</f>
        <v>2</v>
      </c>
      <c r="K386" s="86">
        <f>WomenSuperLeague!F10</f>
        <v>3</v>
      </c>
      <c r="L386" s="126"/>
      <c r="M386" s="126"/>
      <c r="N386" s="126"/>
      <c r="O386" s="130"/>
      <c r="P386" s="130"/>
      <c r="Q386" s="130"/>
      <c r="R386" s="130"/>
      <c r="S386" s="130"/>
      <c r="T386" s="131"/>
      <c r="U386" s="131"/>
    </row>
    <row r="387" spans="2:21" ht="7.5" customHeight="1" x14ac:dyDescent="0.2">
      <c r="B387" s="80"/>
      <c r="C387" s="81"/>
      <c r="D387" s="82"/>
      <c r="E387" s="83"/>
      <c r="F387" s="84"/>
      <c r="G387" s="84"/>
      <c r="H387" s="84"/>
      <c r="I387" s="84"/>
      <c r="J387" s="84"/>
      <c r="K387" s="84"/>
      <c r="L387" s="126"/>
      <c r="M387" s="126"/>
      <c r="N387" s="126"/>
      <c r="O387" s="130"/>
      <c r="P387" s="130"/>
      <c r="Q387" s="130"/>
      <c r="R387" s="130"/>
      <c r="S387" s="130"/>
      <c r="T387" s="131"/>
      <c r="U387" s="131"/>
    </row>
    <row r="388" spans="2:21" x14ac:dyDescent="0.2">
      <c r="B388" s="76" t="s">
        <v>124</v>
      </c>
      <c r="C388" s="77">
        <v>42435</v>
      </c>
      <c r="D388" s="85" t="s">
        <v>133</v>
      </c>
      <c r="E388" s="79" t="s">
        <v>120</v>
      </c>
      <c r="F388" s="86" t="str">
        <f>WomenSuperLeague!A11</f>
        <v>WSL-08</v>
      </c>
      <c r="G388" s="86" t="str">
        <f>WomenSuperLeague!B11</f>
        <v>1st Round</v>
      </c>
      <c r="H388" s="86" t="str">
        <f>WomenSuperLeague!C11</f>
        <v>MELLIEHA TRITONES</v>
      </c>
      <c r="I388" s="86" t="str">
        <f>WomenSuperLeague!D11</f>
        <v>BALZAN FLYERS CROSSCRAFT 2</v>
      </c>
      <c r="J388" s="86">
        <f>WomenSuperLeague!E11</f>
        <v>1</v>
      </c>
      <c r="K388" s="86">
        <f>WomenSuperLeague!F11</f>
        <v>3</v>
      </c>
    </row>
    <row r="389" spans="2:21" ht="7.5" customHeight="1" x14ac:dyDescent="0.2">
      <c r="B389" s="80"/>
      <c r="C389" s="81"/>
      <c r="D389" s="82"/>
      <c r="E389" s="83"/>
      <c r="F389" s="84"/>
      <c r="G389" s="84"/>
      <c r="H389" s="84"/>
      <c r="I389" s="84"/>
      <c r="J389" s="84"/>
      <c r="K389" s="84"/>
      <c r="L389" s="126"/>
      <c r="M389" s="126"/>
      <c r="N389" s="126"/>
      <c r="O389" s="130"/>
      <c r="P389" s="130"/>
      <c r="Q389" s="130"/>
      <c r="R389" s="130"/>
      <c r="S389" s="130"/>
      <c r="T389" s="131"/>
      <c r="U389" s="131"/>
    </row>
    <row r="391" spans="2:21" x14ac:dyDescent="0.2">
      <c r="B391" s="111" t="s">
        <v>121</v>
      </c>
      <c r="C391" s="112">
        <v>42441</v>
      </c>
      <c r="D391" s="121" t="s">
        <v>129</v>
      </c>
      <c r="E391" s="114" t="s">
        <v>120</v>
      </c>
      <c r="F391" s="115" t="str">
        <f>WomenUnder18!A15</f>
        <v>WU18L-12</v>
      </c>
      <c r="G391" s="115" t="str">
        <f>WomenUnder18!B15</f>
        <v>4th Round</v>
      </c>
      <c r="H391" s="115" t="str">
        <f>WomenUnder18!C15</f>
        <v>SWIEQI PHOENIX</v>
      </c>
      <c r="I391" s="115" t="str">
        <f>WomenUnder18!D15</f>
        <v>FLEUR DE LYS TWISTEES</v>
      </c>
      <c r="J391" s="115">
        <f>WomenUnder18!E15</f>
        <v>3</v>
      </c>
      <c r="K391" s="115">
        <f>WomenUnder18!F15</f>
        <v>0</v>
      </c>
    </row>
    <row r="392" spans="2:21" ht="7.5" customHeight="1" x14ac:dyDescent="0.2">
      <c r="B392" s="116"/>
      <c r="C392" s="117"/>
      <c r="D392" s="118"/>
      <c r="E392" s="119"/>
      <c r="F392" s="120"/>
      <c r="G392" s="120"/>
      <c r="H392" s="120"/>
      <c r="I392" s="120"/>
      <c r="J392" s="120"/>
      <c r="K392" s="120"/>
      <c r="L392" s="126"/>
      <c r="M392" s="126"/>
      <c r="N392" s="126"/>
      <c r="O392" s="130"/>
      <c r="P392" s="130"/>
      <c r="Q392" s="130"/>
      <c r="R392" s="130"/>
      <c r="S392" s="130"/>
      <c r="T392" s="131"/>
      <c r="U392" s="131"/>
    </row>
    <row r="393" spans="2:21" x14ac:dyDescent="0.2">
      <c r="B393" s="76" t="s">
        <v>121</v>
      </c>
      <c r="C393" s="77">
        <v>42441</v>
      </c>
      <c r="D393" s="78" t="s">
        <v>130</v>
      </c>
      <c r="E393" s="79" t="s">
        <v>120</v>
      </c>
      <c r="F393" s="86" t="str">
        <f>Women1stDivLeague!A12</f>
        <v>W1L-09</v>
      </c>
      <c r="G393" s="86" t="str">
        <f>Women1stDivLeague!B12</f>
        <v>1st Round</v>
      </c>
      <c r="H393" s="86" t="str">
        <f>Women1stDivLeague!C12</f>
        <v>SLIEMA WANDERERS</v>
      </c>
      <c r="I393" s="86" t="str">
        <f>Women1stDivLeague!D12</f>
        <v>PLAYVOLLEY GENERAL MEMBRANE</v>
      </c>
      <c r="J393" s="86">
        <f>Women1stDivLeague!E12</f>
        <v>0</v>
      </c>
      <c r="K393" s="86">
        <f>Women1stDivLeague!F12</f>
        <v>3</v>
      </c>
      <c r="L393" s="126"/>
      <c r="M393" s="126"/>
      <c r="N393" s="126"/>
      <c r="O393" s="130"/>
      <c r="P393" s="130"/>
      <c r="Q393" s="130"/>
      <c r="R393" s="130"/>
      <c r="S393" s="130"/>
      <c r="T393" s="131"/>
      <c r="U393" s="131"/>
    </row>
    <row r="394" spans="2:21" ht="7.5" customHeight="1" x14ac:dyDescent="0.2">
      <c r="B394" s="80"/>
      <c r="C394" s="81"/>
      <c r="D394" s="82"/>
      <c r="E394" s="83"/>
      <c r="F394" s="84"/>
      <c r="G394" s="84"/>
      <c r="H394" s="84"/>
      <c r="I394" s="84"/>
      <c r="J394" s="84"/>
      <c r="K394" s="84"/>
      <c r="L394" s="126"/>
      <c r="M394" s="126"/>
      <c r="N394" s="126"/>
      <c r="O394" s="130"/>
      <c r="P394" s="130"/>
      <c r="Q394" s="130"/>
      <c r="R394" s="130"/>
      <c r="S394" s="130"/>
      <c r="T394" s="131"/>
      <c r="U394" s="131"/>
    </row>
    <row r="395" spans="2:21" ht="15.75" x14ac:dyDescent="0.25">
      <c r="B395" s="76" t="s">
        <v>121</v>
      </c>
      <c r="C395" s="77">
        <v>42441</v>
      </c>
      <c r="D395" s="85" t="s">
        <v>133</v>
      </c>
      <c r="E395" s="79" t="s">
        <v>120</v>
      </c>
      <c r="F395" s="86" t="str">
        <f>Women1stDivLeague!A13</f>
        <v>W1L-10</v>
      </c>
      <c r="G395" s="86" t="str">
        <f>Women1stDivLeague!B13</f>
        <v>1st Round</v>
      </c>
      <c r="H395" s="86" t="str">
        <f>Women1stDivLeague!C13</f>
        <v>SWIEQI PHOENIX</v>
      </c>
      <c r="I395" s="86" t="str">
        <f>Women1stDivLeague!D13</f>
        <v>MGARR</v>
      </c>
      <c r="J395" s="86">
        <f>Women1stDivLeague!E13</f>
        <v>3</v>
      </c>
      <c r="K395" s="86">
        <f>Women1stDivLeague!F13</f>
        <v>0</v>
      </c>
      <c r="L395" s="197" t="s">
        <v>139</v>
      </c>
    </row>
    <row r="396" spans="2:21" ht="7.5" customHeight="1" x14ac:dyDescent="0.2">
      <c r="B396" s="80"/>
      <c r="C396" s="81"/>
      <c r="D396" s="82"/>
      <c r="E396" s="83"/>
      <c r="F396" s="84"/>
      <c r="G396" s="84"/>
      <c r="H396" s="84"/>
      <c r="I396" s="84"/>
      <c r="J396" s="84"/>
      <c r="K396" s="84"/>
      <c r="L396" s="126"/>
      <c r="M396" s="126"/>
      <c r="N396" s="126"/>
      <c r="O396" s="130"/>
      <c r="P396" s="130"/>
      <c r="Q396" s="130"/>
      <c r="R396" s="130"/>
      <c r="S396" s="130"/>
      <c r="T396" s="131"/>
      <c r="U396" s="131"/>
    </row>
    <row r="398" spans="2:21" x14ac:dyDescent="0.2">
      <c r="B398" s="111" t="s">
        <v>124</v>
      </c>
      <c r="C398" s="112">
        <v>42442</v>
      </c>
      <c r="D398" s="121" t="s">
        <v>140</v>
      </c>
      <c r="E398" s="114" t="s">
        <v>120</v>
      </c>
      <c r="F398" s="115" t="str">
        <f>WomenUnder16!A18</f>
        <v>WU16L-15</v>
      </c>
      <c r="G398" s="115" t="str">
        <f>WomenUnder16!B18</f>
        <v>3rd Round</v>
      </c>
      <c r="H398" s="115" t="str">
        <f>WomenUnder16!C18</f>
        <v>FLEUR DE LYS TWISTEES</v>
      </c>
      <c r="I398" s="115" t="str">
        <f>WomenUnder16!D18</f>
        <v>PAOLA</v>
      </c>
      <c r="J398" s="115">
        <f>WomenUnder16!E18</f>
        <v>1</v>
      </c>
      <c r="K398" s="115">
        <f>WomenUnder16!F18</f>
        <v>3</v>
      </c>
      <c r="L398" s="126"/>
      <c r="M398" s="126"/>
      <c r="N398" s="126"/>
      <c r="O398" s="130"/>
      <c r="P398" s="130"/>
      <c r="Q398" s="130"/>
      <c r="R398" s="130"/>
      <c r="S398" s="130"/>
      <c r="T398" s="131"/>
      <c r="U398" s="131"/>
    </row>
    <row r="399" spans="2:21" ht="7.5" customHeight="1" x14ac:dyDescent="0.2">
      <c r="B399" s="116"/>
      <c r="C399" s="117"/>
      <c r="D399" s="118"/>
      <c r="E399" s="119"/>
      <c r="F399" s="120"/>
      <c r="G399" s="120"/>
      <c r="H399" s="120"/>
      <c r="I399" s="120"/>
      <c r="J399" s="120"/>
      <c r="K399" s="120"/>
      <c r="L399" s="126"/>
      <c r="M399" s="126"/>
      <c r="N399" s="126"/>
      <c r="O399" s="130"/>
      <c r="P399" s="130"/>
      <c r="Q399" s="130"/>
      <c r="R399" s="130"/>
      <c r="S399" s="130"/>
      <c r="T399" s="131"/>
      <c r="U399" s="131"/>
    </row>
    <row r="400" spans="2:21" x14ac:dyDescent="0.2">
      <c r="B400" s="111" t="s">
        <v>124</v>
      </c>
      <c r="C400" s="112">
        <v>42442</v>
      </c>
      <c r="D400" s="121" t="s">
        <v>140</v>
      </c>
      <c r="E400" s="114" t="s">
        <v>120</v>
      </c>
      <c r="F400" s="115" t="str">
        <f>WomenUnder16!A19</f>
        <v>WU16L-16</v>
      </c>
      <c r="G400" s="115" t="str">
        <f>WomenUnder16!B19</f>
        <v>3rd Round</v>
      </c>
      <c r="H400" s="115" t="str">
        <f>WomenUnder16!C19</f>
        <v>BALZAN FLYERS CROSSCRAFT</v>
      </c>
      <c r="I400" s="115" t="str">
        <f>WomenUnder16!D19</f>
        <v>SWIEQI PHOENIX</v>
      </c>
      <c r="J400" s="115">
        <f>WomenUnder16!E19</f>
        <v>0</v>
      </c>
      <c r="K400" s="115">
        <f>WomenUnder16!F19</f>
        <v>3</v>
      </c>
      <c r="L400" s="126"/>
      <c r="M400" s="126"/>
      <c r="N400" s="126"/>
      <c r="O400" s="130"/>
      <c r="P400" s="130"/>
      <c r="Q400" s="130"/>
      <c r="R400" s="130"/>
      <c r="S400" s="130"/>
      <c r="T400" s="131"/>
      <c r="U400" s="131"/>
    </row>
    <row r="401" spans="2:21" ht="7.5" customHeight="1" x14ac:dyDescent="0.2">
      <c r="B401" s="116"/>
      <c r="C401" s="117"/>
      <c r="D401" s="118"/>
      <c r="E401" s="119"/>
      <c r="F401" s="120"/>
      <c r="G401" s="120"/>
      <c r="H401" s="120"/>
      <c r="I401" s="120"/>
      <c r="J401" s="120"/>
      <c r="K401" s="120"/>
      <c r="L401" s="126"/>
      <c r="M401" s="126"/>
      <c r="N401" s="126"/>
      <c r="O401" s="130"/>
      <c r="P401" s="130"/>
      <c r="Q401" s="130"/>
      <c r="R401" s="130"/>
      <c r="S401" s="130"/>
      <c r="T401" s="131"/>
      <c r="U401" s="131"/>
    </row>
    <row r="402" spans="2:21" x14ac:dyDescent="0.2">
      <c r="B402" s="76" t="s">
        <v>124</v>
      </c>
      <c r="C402" s="77">
        <v>42442</v>
      </c>
      <c r="D402" s="85" t="s">
        <v>129</v>
      </c>
      <c r="E402" s="79" t="s">
        <v>120</v>
      </c>
      <c r="F402" s="86" t="str">
        <f>WomenSuperLeague!A12</f>
        <v>WSL-09</v>
      </c>
      <c r="G402" s="86" t="str">
        <f>WomenSuperLeague!B12</f>
        <v>1st Round</v>
      </c>
      <c r="H402" s="86" t="str">
        <f>WomenSuperLeague!C12</f>
        <v>BALZAN FLYERS CROSSCRAFT</v>
      </c>
      <c r="I402" s="86" t="str">
        <f>WomenSuperLeague!D12</f>
        <v>PAOLA</v>
      </c>
      <c r="J402" s="86">
        <f>WomenSuperLeague!E12</f>
        <v>3</v>
      </c>
      <c r="K402" s="86">
        <f>WomenSuperLeague!F12</f>
        <v>1</v>
      </c>
      <c r="L402" s="126"/>
      <c r="M402" s="126"/>
      <c r="N402" s="126"/>
      <c r="O402" s="130"/>
      <c r="P402" s="130"/>
      <c r="Q402" s="130"/>
      <c r="R402" s="130"/>
      <c r="S402" s="130"/>
      <c r="T402" s="131"/>
      <c r="U402" s="131"/>
    </row>
    <row r="403" spans="2:21" ht="7.5" customHeight="1" x14ac:dyDescent="0.2">
      <c r="B403" s="80"/>
      <c r="C403" s="81"/>
      <c r="D403" s="82"/>
      <c r="E403" s="83"/>
      <c r="F403" s="84"/>
      <c r="G403" s="84"/>
      <c r="H403" s="84"/>
      <c r="I403" s="84"/>
      <c r="J403" s="84"/>
      <c r="K403" s="84"/>
      <c r="L403" s="126"/>
      <c r="M403" s="126"/>
      <c r="N403" s="126"/>
      <c r="O403" s="130"/>
      <c r="P403" s="130"/>
      <c r="Q403" s="130"/>
      <c r="R403" s="130"/>
      <c r="S403" s="130"/>
      <c r="T403" s="131"/>
      <c r="U403" s="131"/>
    </row>
    <row r="404" spans="2:21" x14ac:dyDescent="0.2">
      <c r="B404" s="76" t="s">
        <v>124</v>
      </c>
      <c r="C404" s="77">
        <v>42442</v>
      </c>
      <c r="D404" s="85" t="s">
        <v>130</v>
      </c>
      <c r="E404" s="79" t="s">
        <v>120</v>
      </c>
      <c r="F404" s="86" t="str">
        <f>WomenSuperLeague!A13</f>
        <v>WSL-10</v>
      </c>
      <c r="G404" s="86" t="str">
        <f>WomenSuperLeague!B13</f>
        <v>1st Round</v>
      </c>
      <c r="H404" s="86" t="str">
        <f>WomenSuperLeague!C13</f>
        <v>FLEUR DE LYS TWISTEES</v>
      </c>
      <c r="I404" s="86" t="str">
        <f>WomenSuperLeague!D13</f>
        <v>MELLIEHA TRITONES</v>
      </c>
      <c r="J404" s="86">
        <f>WomenSuperLeague!E13</f>
        <v>3</v>
      </c>
      <c r="K404" s="86">
        <f>WomenSuperLeague!F13</f>
        <v>0</v>
      </c>
      <c r="L404" s="126"/>
      <c r="M404" s="126"/>
      <c r="N404" s="126"/>
      <c r="O404" s="130"/>
      <c r="P404" s="130"/>
      <c r="Q404" s="130"/>
      <c r="R404" s="130"/>
      <c r="S404" s="130"/>
      <c r="T404" s="131"/>
      <c r="U404" s="131"/>
    </row>
    <row r="405" spans="2:21" ht="7.5" customHeight="1" x14ac:dyDescent="0.2">
      <c r="B405" s="80"/>
      <c r="C405" s="81"/>
      <c r="D405" s="82"/>
      <c r="E405" s="83"/>
      <c r="F405" s="84"/>
      <c r="G405" s="84"/>
      <c r="H405" s="84"/>
      <c r="I405" s="84"/>
      <c r="J405" s="84"/>
      <c r="K405" s="84"/>
      <c r="L405" s="126"/>
      <c r="M405" s="126"/>
      <c r="N405" s="126"/>
      <c r="O405" s="130"/>
      <c r="P405" s="130"/>
      <c r="Q405" s="130"/>
      <c r="R405" s="130"/>
      <c r="S405" s="130"/>
      <c r="T405" s="131"/>
      <c r="U405" s="131"/>
    </row>
    <row r="406" spans="2:21" x14ac:dyDescent="0.2">
      <c r="B406" s="76" t="s">
        <v>124</v>
      </c>
      <c r="C406" s="77">
        <v>42442</v>
      </c>
      <c r="D406" s="85" t="s">
        <v>133</v>
      </c>
      <c r="E406" s="79" t="s">
        <v>120</v>
      </c>
      <c r="F406" s="86" t="str">
        <f>MenLeagueGames!A21</f>
        <v>ML-18</v>
      </c>
      <c r="G406" s="86" t="str">
        <f>MenLeagueGames!B21</f>
        <v>3rd Round</v>
      </c>
      <c r="H406" s="86" t="str">
        <f>MenLeagueGames!C21</f>
        <v>ALOYSIANS</v>
      </c>
      <c r="I406" s="86" t="str">
        <f>MenLeagueGames!D21</f>
        <v>MGARR</v>
      </c>
      <c r="J406" s="86">
        <f>MenLeagueGames!E21</f>
        <v>3</v>
      </c>
      <c r="K406" s="86">
        <f>MenLeagueGames!F21</f>
        <v>0</v>
      </c>
    </row>
    <row r="407" spans="2:21" ht="7.5" customHeight="1" x14ac:dyDescent="0.2">
      <c r="B407" s="80"/>
      <c r="C407" s="81"/>
      <c r="D407" s="82"/>
      <c r="E407" s="83"/>
      <c r="F407" s="84"/>
      <c r="G407" s="84"/>
      <c r="H407" s="84"/>
      <c r="I407" s="84"/>
      <c r="J407" s="84"/>
      <c r="K407" s="84"/>
      <c r="L407" s="126"/>
      <c r="M407" s="126"/>
      <c r="N407" s="126"/>
      <c r="O407" s="130"/>
      <c r="P407" s="130"/>
      <c r="Q407" s="130"/>
      <c r="R407" s="130"/>
      <c r="S407" s="130"/>
      <c r="T407" s="131"/>
      <c r="U407" s="131"/>
    </row>
    <row r="409" spans="2:21" x14ac:dyDescent="0.2">
      <c r="B409" s="76" t="s">
        <v>121</v>
      </c>
      <c r="C409" s="77">
        <v>42448</v>
      </c>
      <c r="D409" s="78" t="s">
        <v>129</v>
      </c>
      <c r="E409" s="79" t="s">
        <v>120</v>
      </c>
      <c r="F409" s="86" t="str">
        <f>MenLeagueGames!A5</f>
        <v>ML-02</v>
      </c>
      <c r="G409" s="86" t="str">
        <f>MenLeagueGames!B5</f>
        <v>1st Round</v>
      </c>
      <c r="H409" s="86" t="str">
        <f>MenLeagueGames!C5</f>
        <v>VALLETTA MAPEI</v>
      </c>
      <c r="I409" s="86" t="str">
        <f>MenLeagueGames!D5</f>
        <v>MGARR</v>
      </c>
      <c r="J409" s="86">
        <f>MenLeagueGames!E5</f>
        <v>3</v>
      </c>
      <c r="K409" s="86">
        <f>MenLeagueGames!F5</f>
        <v>0</v>
      </c>
    </row>
    <row r="410" spans="2:21" ht="7.5" customHeight="1" x14ac:dyDescent="0.2">
      <c r="B410" s="80"/>
      <c r="C410" s="81"/>
      <c r="D410" s="82"/>
      <c r="E410" s="83"/>
      <c r="F410" s="84"/>
      <c r="G410" s="84"/>
      <c r="H410" s="84"/>
      <c r="I410" s="84"/>
      <c r="J410" s="84"/>
      <c r="K410" s="84"/>
      <c r="L410" s="126"/>
      <c r="M410" s="126"/>
      <c r="N410" s="126"/>
      <c r="O410" s="130"/>
      <c r="P410" s="130"/>
      <c r="Q410" s="130"/>
      <c r="R410" s="130"/>
      <c r="S410" s="130"/>
      <c r="T410" s="131"/>
      <c r="U410" s="131"/>
    </row>
    <row r="411" spans="2:21" x14ac:dyDescent="0.2">
      <c r="B411" s="76" t="s">
        <v>121</v>
      </c>
      <c r="C411" s="77">
        <v>42448</v>
      </c>
      <c r="D411" s="78" t="s">
        <v>130</v>
      </c>
      <c r="E411" s="79" t="s">
        <v>120</v>
      </c>
      <c r="F411" s="86" t="str">
        <f>Women1stDivLeague!A14</f>
        <v>W1L-11</v>
      </c>
      <c r="G411" s="86" t="str">
        <f>Women1stDivLeague!B14</f>
        <v>2nd Round</v>
      </c>
      <c r="H411" s="86" t="str">
        <f>Women1stDivLeague!C14</f>
        <v>MGARR</v>
      </c>
      <c r="I411" s="86" t="str">
        <f>Women1stDivLeague!D14</f>
        <v>PLAYVOLLEY GENERAL MEMBRANE</v>
      </c>
      <c r="J411" s="86">
        <f>Women1stDivLeague!E14</f>
        <v>0</v>
      </c>
      <c r="K411" s="86">
        <f>Women1stDivLeague!F14</f>
        <v>3</v>
      </c>
      <c r="L411" s="126"/>
      <c r="M411" s="126"/>
      <c r="N411" s="126"/>
      <c r="O411" s="130"/>
      <c r="P411" s="130"/>
      <c r="Q411" s="130"/>
      <c r="R411" s="130"/>
      <c r="S411" s="130"/>
      <c r="T411" s="131"/>
      <c r="U411" s="131"/>
    </row>
    <row r="412" spans="2:21" ht="7.5" customHeight="1" x14ac:dyDescent="0.2">
      <c r="B412" s="80"/>
      <c r="C412" s="81"/>
      <c r="D412" s="82"/>
      <c r="E412" s="83"/>
      <c r="F412" s="84"/>
      <c r="G412" s="84"/>
      <c r="H412" s="84"/>
      <c r="I412" s="84"/>
      <c r="J412" s="84"/>
      <c r="K412" s="84"/>
      <c r="L412" s="126"/>
      <c r="M412" s="126"/>
      <c r="N412" s="126"/>
      <c r="O412" s="130"/>
      <c r="P412" s="130"/>
      <c r="Q412" s="130"/>
      <c r="R412" s="130"/>
      <c r="S412" s="130"/>
      <c r="T412" s="131"/>
      <c r="U412" s="131"/>
    </row>
    <row r="413" spans="2:21" x14ac:dyDescent="0.2">
      <c r="B413" s="76" t="s">
        <v>121</v>
      </c>
      <c r="C413" s="77">
        <v>42448</v>
      </c>
      <c r="D413" s="85" t="s">
        <v>133</v>
      </c>
      <c r="E413" s="79" t="s">
        <v>120</v>
      </c>
      <c r="F413" s="86" t="str">
        <f>Women1stDivLeague!A15</f>
        <v>W1L-12</v>
      </c>
      <c r="G413" s="86" t="str">
        <f>Women1stDivLeague!B15</f>
        <v>2nd Round</v>
      </c>
      <c r="H413" s="86" t="str">
        <f>Women1stDivLeague!C15</f>
        <v>SWIEQI PHOENIX</v>
      </c>
      <c r="I413" s="86" t="str">
        <f>Women1stDivLeague!D15</f>
        <v>BIRKIRKARA</v>
      </c>
      <c r="J413" s="86">
        <f>Women1stDivLeague!E15</f>
        <v>3</v>
      </c>
      <c r="K413" s="86">
        <f>Women1stDivLeague!F15</f>
        <v>1</v>
      </c>
    </row>
    <row r="414" spans="2:21" ht="7.5" customHeight="1" x14ac:dyDescent="0.2">
      <c r="B414" s="80"/>
      <c r="C414" s="81"/>
      <c r="D414" s="82"/>
      <c r="E414" s="83"/>
      <c r="F414" s="84"/>
      <c r="G414" s="84"/>
      <c r="H414" s="84"/>
      <c r="I414" s="84"/>
      <c r="J414" s="84"/>
      <c r="K414" s="84"/>
      <c r="L414" s="126"/>
      <c r="M414" s="126"/>
      <c r="N414" s="126"/>
      <c r="O414" s="130"/>
      <c r="P414" s="130"/>
      <c r="Q414" s="130"/>
      <c r="R414" s="130"/>
      <c r="S414" s="130"/>
      <c r="T414" s="131"/>
      <c r="U414" s="131"/>
    </row>
    <row r="416" spans="2:21" x14ac:dyDescent="0.2">
      <c r="B416" s="111" t="s">
        <v>124</v>
      </c>
      <c r="C416" s="112">
        <v>42449</v>
      </c>
      <c r="D416" s="121" t="s">
        <v>140</v>
      </c>
      <c r="E416" s="114" t="s">
        <v>120</v>
      </c>
      <c r="F416" s="115" t="str">
        <f>WomenUnder16!A20</f>
        <v>WU16L-17</v>
      </c>
      <c r="G416" s="115" t="str">
        <f>WomenUnder16!B20</f>
        <v>3rd Round</v>
      </c>
      <c r="H416" s="115" t="str">
        <f>WomenUnder16!C20</f>
        <v>PAOLA</v>
      </c>
      <c r="I416" s="115" t="str">
        <f>WomenUnder16!D20</f>
        <v>SWIEQI PHOENIX</v>
      </c>
      <c r="J416" s="115">
        <f>WomenUnder16!E20</f>
        <v>1</v>
      </c>
      <c r="K416" s="115">
        <f>WomenUnder16!F20</f>
        <v>3</v>
      </c>
      <c r="L416" s="126"/>
      <c r="M416" s="126"/>
      <c r="N416" s="126"/>
      <c r="O416" s="130"/>
      <c r="P416" s="130"/>
      <c r="Q416" s="130"/>
      <c r="R416" s="130"/>
      <c r="S416" s="130"/>
      <c r="T416" s="131"/>
      <c r="U416" s="131"/>
    </row>
    <row r="417" spans="2:21" ht="7.5" customHeight="1" x14ac:dyDescent="0.2">
      <c r="B417" s="116"/>
      <c r="C417" s="117"/>
      <c r="D417" s="118"/>
      <c r="E417" s="119"/>
      <c r="F417" s="120"/>
      <c r="G417" s="120"/>
      <c r="H417" s="120"/>
      <c r="I417" s="120"/>
      <c r="J417" s="120"/>
      <c r="K417" s="120"/>
      <c r="L417" s="126"/>
      <c r="M417" s="126"/>
      <c r="N417" s="126"/>
      <c r="O417" s="130"/>
      <c r="P417" s="130"/>
      <c r="Q417" s="130"/>
      <c r="R417" s="130"/>
      <c r="S417" s="130"/>
      <c r="T417" s="131"/>
      <c r="U417" s="131"/>
    </row>
    <row r="418" spans="2:21" x14ac:dyDescent="0.2">
      <c r="B418" s="111" t="s">
        <v>124</v>
      </c>
      <c r="C418" s="112">
        <v>42449</v>
      </c>
      <c r="D418" s="121" t="s">
        <v>140</v>
      </c>
      <c r="E418" s="114" t="s">
        <v>120</v>
      </c>
      <c r="F418" s="115" t="str">
        <f>WomenUnder16!A21</f>
        <v>WU16L-18</v>
      </c>
      <c r="G418" s="115" t="str">
        <f>WomenUnder16!B21</f>
        <v>3rd Round</v>
      </c>
      <c r="H418" s="115" t="str">
        <f>WomenUnder16!C21</f>
        <v>BALZAN FLYERS CROSSCRAFT</v>
      </c>
      <c r="I418" s="115" t="str">
        <f>WomenUnder16!D21</f>
        <v>FLEUR DE LYS TWISTEES</v>
      </c>
      <c r="J418" s="115">
        <f>WomenUnder16!E21</f>
        <v>0</v>
      </c>
      <c r="K418" s="115">
        <f>WomenUnder16!F21</f>
        <v>3</v>
      </c>
      <c r="L418" s="126"/>
      <c r="M418" s="126"/>
      <c r="N418" s="126"/>
      <c r="O418" s="130"/>
      <c r="P418" s="130"/>
      <c r="Q418" s="130"/>
      <c r="R418" s="130"/>
      <c r="S418" s="130"/>
      <c r="T418" s="131"/>
      <c r="U418" s="131"/>
    </row>
    <row r="419" spans="2:21" ht="7.5" customHeight="1" x14ac:dyDescent="0.2">
      <c r="B419" s="116"/>
      <c r="C419" s="117"/>
      <c r="D419" s="118"/>
      <c r="E419" s="119"/>
      <c r="F419" s="120"/>
      <c r="G419" s="120"/>
      <c r="H419" s="120"/>
      <c r="I419" s="120"/>
      <c r="J419" s="120"/>
      <c r="K419" s="120"/>
      <c r="L419" s="126"/>
      <c r="M419" s="126"/>
      <c r="N419" s="126"/>
      <c r="O419" s="130"/>
      <c r="P419" s="130"/>
      <c r="Q419" s="130"/>
      <c r="R419" s="130"/>
      <c r="S419" s="130"/>
      <c r="T419" s="131"/>
      <c r="U419" s="131"/>
    </row>
    <row r="420" spans="2:21" ht="15.75" x14ac:dyDescent="0.25">
      <c r="B420" s="76" t="s">
        <v>124</v>
      </c>
      <c r="C420" s="77">
        <v>42449</v>
      </c>
      <c r="D420" s="85" t="s">
        <v>129</v>
      </c>
      <c r="E420" s="79" t="s">
        <v>120</v>
      </c>
      <c r="F420" s="86" t="str">
        <f>WomenSuperLeague!A14</f>
        <v>WSL-11</v>
      </c>
      <c r="G420" s="86" t="str">
        <f>WomenSuperLeague!B14</f>
        <v>2nd Round</v>
      </c>
      <c r="H420" s="86" t="str">
        <f>WomenSuperLeague!C14</f>
        <v>MELLIEHA TRITONES</v>
      </c>
      <c r="I420" s="86" t="str">
        <f>WomenSuperLeague!D14</f>
        <v>PAOLA</v>
      </c>
      <c r="J420" s="86">
        <f>WomenSuperLeague!E14</f>
        <v>0</v>
      </c>
      <c r="K420" s="86">
        <f>WomenSuperLeague!F14</f>
        <v>3</v>
      </c>
      <c r="L420" s="197" t="s">
        <v>139</v>
      </c>
      <c r="M420" s="126"/>
      <c r="N420" s="126"/>
      <c r="O420" s="130"/>
      <c r="P420" s="130"/>
      <c r="Q420" s="130"/>
      <c r="R420" s="130"/>
      <c r="S420" s="130"/>
      <c r="T420" s="131"/>
      <c r="U420" s="131"/>
    </row>
    <row r="421" spans="2:21" ht="7.5" customHeight="1" x14ac:dyDescent="0.2">
      <c r="B421" s="80"/>
      <c r="C421" s="81"/>
      <c r="D421" s="82"/>
      <c r="E421" s="83"/>
      <c r="F421" s="84"/>
      <c r="G421" s="84"/>
      <c r="H421" s="84"/>
      <c r="I421" s="84"/>
      <c r="J421" s="84"/>
      <c r="K421" s="84"/>
      <c r="L421" s="126"/>
      <c r="M421" s="126"/>
      <c r="N421" s="126"/>
      <c r="O421" s="130"/>
      <c r="P421" s="130"/>
      <c r="Q421" s="130"/>
      <c r="R421" s="130"/>
      <c r="S421" s="130"/>
      <c r="T421" s="131"/>
      <c r="U421" s="131"/>
    </row>
    <row r="422" spans="2:21" ht="15.75" x14ac:dyDescent="0.25">
      <c r="B422" s="76" t="s">
        <v>124</v>
      </c>
      <c r="C422" s="77">
        <v>42449</v>
      </c>
      <c r="D422" s="85" t="s">
        <v>130</v>
      </c>
      <c r="E422" s="79" t="s">
        <v>120</v>
      </c>
      <c r="F422" s="86" t="str">
        <f>WomenSuperLeague!A15</f>
        <v>WSL-12</v>
      </c>
      <c r="G422" s="86" t="str">
        <f>WomenSuperLeague!B15</f>
        <v>2nd Round</v>
      </c>
      <c r="H422" s="86" t="str">
        <f>WomenSuperLeague!C15</f>
        <v>FLEUR DE LYS TWISTEES</v>
      </c>
      <c r="I422" s="86" t="str">
        <f>WomenSuperLeague!D15</f>
        <v>BALZAN FLYERS CROSSCRAFT 2</v>
      </c>
      <c r="J422" s="86">
        <f>WomenSuperLeague!E15</f>
        <v>3</v>
      </c>
      <c r="K422" s="86">
        <f>WomenSuperLeague!F15</f>
        <v>0</v>
      </c>
      <c r="L422" s="197" t="s">
        <v>139</v>
      </c>
      <c r="M422" s="126"/>
      <c r="N422" s="126"/>
      <c r="O422" s="130"/>
      <c r="P422" s="130"/>
      <c r="Q422" s="130"/>
      <c r="R422" s="130"/>
      <c r="S422" s="130"/>
      <c r="T422" s="131"/>
      <c r="U422" s="131"/>
    </row>
    <row r="423" spans="2:21" ht="7.5" customHeight="1" x14ac:dyDescent="0.2">
      <c r="B423" s="80"/>
      <c r="C423" s="81"/>
      <c r="D423" s="82"/>
      <c r="E423" s="83"/>
      <c r="F423" s="84"/>
      <c r="G423" s="84"/>
      <c r="H423" s="84"/>
      <c r="I423" s="84"/>
      <c r="J423" s="84"/>
      <c r="K423" s="84"/>
      <c r="L423" s="126"/>
      <c r="M423" s="126"/>
      <c r="N423" s="126"/>
      <c r="O423" s="130"/>
      <c r="P423" s="130"/>
      <c r="Q423" s="130"/>
      <c r="R423" s="130"/>
      <c r="S423" s="130"/>
      <c r="T423" s="131"/>
      <c r="U423" s="131"/>
    </row>
    <row r="424" spans="2:21" x14ac:dyDescent="0.2">
      <c r="B424" s="76" t="s">
        <v>124</v>
      </c>
      <c r="C424" s="77">
        <v>42449</v>
      </c>
      <c r="D424" s="85" t="s">
        <v>133</v>
      </c>
      <c r="E424" s="79" t="s">
        <v>120</v>
      </c>
      <c r="F424" s="86" t="str">
        <f>MenLeagueGames!A10</f>
        <v>ML-07</v>
      </c>
      <c r="G424" s="86" t="str">
        <f>MenLeagueGames!B10</f>
        <v>2nd Round</v>
      </c>
      <c r="H424" s="86" t="str">
        <f>MenLeagueGames!C10</f>
        <v>FLEUR DE LYS TWISTEES</v>
      </c>
      <c r="I424" s="86" t="str">
        <f>MenLeagueGames!D10</f>
        <v>ALOYSIANS</v>
      </c>
      <c r="J424" s="86">
        <f>MenLeagueGames!E10</f>
        <v>1</v>
      </c>
      <c r="K424" s="86">
        <f>MenLeagueGames!F10</f>
        <v>3</v>
      </c>
    </row>
    <row r="425" spans="2:21" ht="7.5" customHeight="1" x14ac:dyDescent="0.2">
      <c r="B425" s="80"/>
      <c r="C425" s="81"/>
      <c r="D425" s="82"/>
      <c r="E425" s="83"/>
      <c r="F425" s="84"/>
      <c r="G425" s="84"/>
      <c r="H425" s="84"/>
      <c r="I425" s="84"/>
      <c r="J425" s="84"/>
      <c r="K425" s="84"/>
      <c r="L425" s="126"/>
      <c r="M425" s="126"/>
      <c r="N425" s="126"/>
      <c r="O425" s="130"/>
      <c r="P425" s="130"/>
      <c r="Q425" s="130"/>
      <c r="R425" s="130"/>
      <c r="S425" s="130"/>
      <c r="T425" s="131"/>
      <c r="U425" s="131"/>
    </row>
    <row r="427" spans="2:21" x14ac:dyDescent="0.2">
      <c r="B427" s="76" t="s">
        <v>121</v>
      </c>
      <c r="C427" s="77">
        <v>42455</v>
      </c>
      <c r="D427" s="85"/>
      <c r="E427" s="79" t="s">
        <v>120</v>
      </c>
      <c r="F427" s="246" t="s">
        <v>157</v>
      </c>
      <c r="G427" s="246"/>
      <c r="H427" s="246"/>
      <c r="I427" s="246"/>
      <c r="J427" s="246"/>
      <c r="K427" s="246"/>
      <c r="L427" s="126"/>
      <c r="M427" s="126"/>
      <c r="N427" s="126"/>
      <c r="O427" s="130"/>
      <c r="P427" s="130"/>
      <c r="Q427" s="130"/>
      <c r="R427" s="130"/>
      <c r="S427" s="130"/>
      <c r="T427" s="131"/>
      <c r="U427" s="131"/>
    </row>
    <row r="428" spans="2:21" ht="7.5" customHeight="1" x14ac:dyDescent="0.2">
      <c r="B428" s="80"/>
      <c r="C428" s="81"/>
      <c r="D428" s="82"/>
      <c r="E428" s="83"/>
      <c r="F428" s="84"/>
      <c r="G428" s="84"/>
      <c r="H428" s="84"/>
      <c r="I428" s="84"/>
      <c r="J428" s="84"/>
      <c r="K428" s="84"/>
      <c r="L428" s="126"/>
      <c r="M428" s="126"/>
      <c r="N428" s="126"/>
      <c r="O428" s="130"/>
      <c r="P428" s="130"/>
      <c r="Q428" s="130"/>
      <c r="R428" s="130"/>
      <c r="S428" s="130"/>
      <c r="T428" s="131"/>
      <c r="U428" s="131"/>
    </row>
    <row r="430" spans="2:21" x14ac:dyDescent="0.2">
      <c r="B430" s="76" t="s">
        <v>124</v>
      </c>
      <c r="C430" s="77">
        <v>42456</v>
      </c>
      <c r="D430" s="85"/>
      <c r="E430" s="79" t="s">
        <v>120</v>
      </c>
      <c r="F430" s="246" t="s">
        <v>157</v>
      </c>
      <c r="G430" s="246"/>
      <c r="H430" s="246"/>
      <c r="I430" s="246"/>
      <c r="J430" s="246"/>
      <c r="K430" s="246"/>
      <c r="L430" s="126"/>
      <c r="M430" s="126"/>
      <c r="N430" s="126"/>
      <c r="O430" s="130"/>
      <c r="P430" s="130"/>
      <c r="Q430" s="130"/>
      <c r="R430" s="130"/>
      <c r="S430" s="130"/>
      <c r="T430" s="131"/>
      <c r="U430" s="131"/>
    </row>
    <row r="431" spans="2:21" ht="7.5" customHeight="1" x14ac:dyDescent="0.2">
      <c r="B431" s="80"/>
      <c r="C431" s="81"/>
      <c r="D431" s="82"/>
      <c r="E431" s="83"/>
      <c r="F431" s="84"/>
      <c r="G431" s="84"/>
      <c r="H431" s="84"/>
      <c r="I431" s="84"/>
      <c r="J431" s="84"/>
      <c r="K431" s="84"/>
      <c r="L431" s="126"/>
      <c r="M431" s="126"/>
      <c r="N431" s="126"/>
      <c r="O431" s="130"/>
      <c r="P431" s="130"/>
      <c r="Q431" s="130"/>
      <c r="R431" s="130"/>
      <c r="S431" s="130"/>
      <c r="T431" s="131"/>
      <c r="U431" s="131"/>
    </row>
    <row r="433" spans="2:21" x14ac:dyDescent="0.2">
      <c r="B433" s="76" t="s">
        <v>121</v>
      </c>
      <c r="C433" s="77">
        <v>42462</v>
      </c>
      <c r="D433" s="78" t="s">
        <v>129</v>
      </c>
      <c r="E433" s="79" t="s">
        <v>120</v>
      </c>
      <c r="F433" s="86" t="str">
        <f>Women1stDivLeague!A16</f>
        <v>W1L-13</v>
      </c>
      <c r="G433" s="86" t="str">
        <f>Women1stDivLeague!B16</f>
        <v>2nd Round</v>
      </c>
      <c r="H433" s="86" t="str">
        <f>Women1stDivLeague!C16</f>
        <v>SWIEQI PHOENIX</v>
      </c>
      <c r="I433" s="86" t="str">
        <f>Women1stDivLeague!D16</f>
        <v>PLAYVOLLEY GENERAL MEMBRANE</v>
      </c>
      <c r="J433" s="86">
        <f>Women1stDivLeague!E16</f>
        <v>0</v>
      </c>
      <c r="K433" s="86">
        <f>Women1stDivLeague!F16</f>
        <v>3</v>
      </c>
      <c r="M433" s="126"/>
      <c r="N433" s="126"/>
      <c r="O433" s="130"/>
      <c r="P433" s="130"/>
      <c r="Q433" s="130"/>
      <c r="R433" s="130"/>
      <c r="S433" s="130"/>
      <c r="T433" s="131"/>
      <c r="U433" s="131"/>
    </row>
    <row r="434" spans="2:21" ht="7.5" customHeight="1" x14ac:dyDescent="0.2">
      <c r="B434" s="80"/>
      <c r="C434" s="81"/>
      <c r="D434" s="82"/>
      <c r="E434" s="83"/>
      <c r="F434" s="84"/>
      <c r="G434" s="84"/>
      <c r="H434" s="84"/>
      <c r="I434" s="84"/>
      <c r="J434" s="84"/>
      <c r="K434" s="84"/>
      <c r="L434" s="126"/>
      <c r="M434" s="126"/>
      <c r="N434" s="126"/>
      <c r="O434" s="130"/>
      <c r="P434" s="130"/>
      <c r="Q434" s="130"/>
      <c r="R434" s="130"/>
      <c r="S434" s="130"/>
      <c r="T434" s="131"/>
      <c r="U434" s="131"/>
    </row>
    <row r="435" spans="2:21" ht="15.75" x14ac:dyDescent="0.25">
      <c r="B435" s="76" t="s">
        <v>121</v>
      </c>
      <c r="C435" s="77">
        <v>42462</v>
      </c>
      <c r="D435" s="78" t="s">
        <v>130</v>
      </c>
      <c r="E435" s="79" t="s">
        <v>120</v>
      </c>
      <c r="F435" s="86" t="str">
        <f>Women1stDivLeague!A17</f>
        <v>W1L-14</v>
      </c>
      <c r="G435" s="86" t="str">
        <f>Women1stDivLeague!B17</f>
        <v>2nd Round</v>
      </c>
      <c r="H435" s="86" t="str">
        <f>Women1stDivLeague!C17</f>
        <v>SLIEMA WANDERERS</v>
      </c>
      <c r="I435" s="86" t="str">
        <f>Women1stDivLeague!D17</f>
        <v>BIRKIRKARA</v>
      </c>
      <c r="J435" s="86">
        <f>Women1stDivLeague!E17</f>
        <v>3</v>
      </c>
      <c r="K435" s="86">
        <f>Women1stDivLeague!F17</f>
        <v>0</v>
      </c>
      <c r="L435" s="197" t="s">
        <v>139</v>
      </c>
      <c r="M435" s="126"/>
      <c r="N435" s="126"/>
      <c r="O435" s="130"/>
      <c r="P435" s="130"/>
      <c r="Q435" s="130"/>
      <c r="R435" s="130"/>
      <c r="S435" s="130"/>
      <c r="T435" s="131"/>
      <c r="U435" s="131"/>
    </row>
    <row r="436" spans="2:21" ht="7.5" customHeight="1" x14ac:dyDescent="0.2">
      <c r="B436" s="80"/>
      <c r="C436" s="81"/>
      <c r="D436" s="82"/>
      <c r="E436" s="83"/>
      <c r="F436" s="84"/>
      <c r="G436" s="84"/>
      <c r="H436" s="84"/>
      <c r="I436" s="84"/>
      <c r="J436" s="84"/>
      <c r="K436" s="84"/>
      <c r="L436" s="126"/>
      <c r="M436" s="126"/>
      <c r="N436" s="126"/>
      <c r="O436" s="130"/>
      <c r="P436" s="130"/>
      <c r="Q436" s="130"/>
      <c r="R436" s="130"/>
      <c r="S436" s="130"/>
      <c r="T436" s="131"/>
      <c r="U436" s="131"/>
    </row>
    <row r="437" spans="2:21" x14ac:dyDescent="0.2">
      <c r="B437" s="76" t="s">
        <v>121</v>
      </c>
      <c r="C437" s="77">
        <v>42462</v>
      </c>
      <c r="D437" s="85" t="s">
        <v>133</v>
      </c>
      <c r="E437" s="79" t="s">
        <v>120</v>
      </c>
      <c r="F437" s="86" t="str">
        <f>MenLeagueGames!A22</f>
        <v>ML-19</v>
      </c>
      <c r="G437" s="86" t="str">
        <f>MenLeagueGames!B22</f>
        <v>PlayOffs</v>
      </c>
      <c r="H437" s="86" t="str">
        <f>MenLeagueGames!C22</f>
        <v>VALLETTA MAPEI</v>
      </c>
      <c r="I437" s="86" t="str">
        <f>MenLeagueGames!D22</f>
        <v>MGARR</v>
      </c>
      <c r="J437" s="86">
        <f>MenLeagueGames!E22</f>
        <v>3</v>
      </c>
      <c r="K437" s="86">
        <f>MenLeagueGames!F22</f>
        <v>0</v>
      </c>
    </row>
    <row r="438" spans="2:21" ht="7.5" customHeight="1" x14ac:dyDescent="0.2">
      <c r="B438" s="80"/>
      <c r="C438" s="81"/>
      <c r="D438" s="82"/>
      <c r="E438" s="83"/>
      <c r="F438" s="84"/>
      <c r="G438" s="84"/>
      <c r="H438" s="84"/>
      <c r="I438" s="84"/>
      <c r="J438" s="84"/>
      <c r="K438" s="84"/>
      <c r="L438" s="126"/>
      <c r="M438" s="126"/>
      <c r="N438" s="126"/>
      <c r="O438" s="130"/>
      <c r="P438" s="130"/>
      <c r="Q438" s="130"/>
      <c r="R438" s="130"/>
      <c r="S438" s="130"/>
      <c r="T438" s="131"/>
      <c r="U438" s="131"/>
    </row>
    <row r="440" spans="2:21" x14ac:dyDescent="0.2">
      <c r="B440" s="76" t="s">
        <v>124</v>
      </c>
      <c r="C440" s="77">
        <v>42463</v>
      </c>
      <c r="D440" s="85" t="s">
        <v>140</v>
      </c>
      <c r="E440" s="79" t="s">
        <v>120</v>
      </c>
      <c r="F440" s="86" t="str">
        <f>WomenUnder14!A6</f>
        <v>WU14L-03</v>
      </c>
      <c r="G440" s="86" t="str">
        <f>WomenUnder14!B6</f>
        <v>1st Round</v>
      </c>
      <c r="H440" s="86" t="str">
        <f>WomenUnder14!C6</f>
        <v>BALZAN FLYERS CROSSCRAFT</v>
      </c>
      <c r="I440" s="86" t="str">
        <f>WomenUnder14!D6</f>
        <v>PAOLA</v>
      </c>
      <c r="J440" s="86">
        <f>WomenUnder14!E6</f>
        <v>2</v>
      </c>
      <c r="K440" s="86">
        <f>WomenUnder14!F6</f>
        <v>0</v>
      </c>
      <c r="L440" s="126"/>
      <c r="M440" s="126"/>
      <c r="N440" s="126"/>
      <c r="O440" s="130"/>
      <c r="P440" s="130"/>
      <c r="Q440" s="130"/>
      <c r="R440" s="130"/>
      <c r="S440" s="130"/>
      <c r="T440" s="131"/>
      <c r="U440" s="131"/>
    </row>
    <row r="441" spans="2:21" ht="7.5" customHeight="1" x14ac:dyDescent="0.2">
      <c r="B441" s="80"/>
      <c r="C441" s="81"/>
      <c r="D441" s="82"/>
      <c r="E441" s="83"/>
      <c r="F441" s="84"/>
      <c r="G441" s="84"/>
      <c r="H441" s="84"/>
      <c r="I441" s="84"/>
      <c r="J441" s="84"/>
      <c r="K441" s="84"/>
      <c r="L441" s="126"/>
      <c r="M441" s="126"/>
      <c r="N441" s="126"/>
      <c r="O441" s="130"/>
      <c r="P441" s="130"/>
      <c r="Q441" s="130"/>
      <c r="R441" s="130"/>
      <c r="S441" s="130"/>
      <c r="T441" s="131"/>
      <c r="U441" s="131"/>
    </row>
    <row r="442" spans="2:21" x14ac:dyDescent="0.2">
      <c r="B442" s="76" t="s">
        <v>124</v>
      </c>
      <c r="C442" s="77">
        <v>42463</v>
      </c>
      <c r="D442" s="85" t="s">
        <v>387</v>
      </c>
      <c r="E442" s="79" t="s">
        <v>120</v>
      </c>
      <c r="F442" s="86" t="str">
        <f>WomenUnder14!A7</f>
        <v>WU14L-04</v>
      </c>
      <c r="G442" s="86" t="str">
        <f>WomenUnder14!B7</f>
        <v>2nd Round</v>
      </c>
      <c r="H442" s="86" t="str">
        <f>WomenUnder14!C7</f>
        <v>SWIEQI PHOENIX</v>
      </c>
      <c r="I442" s="86" t="str">
        <f>WomenUnder14!D7</f>
        <v>PAOLA</v>
      </c>
      <c r="J442" s="86">
        <f>WomenUnder14!E7</f>
        <v>2</v>
      </c>
      <c r="K442" s="86">
        <f>WomenUnder14!F7</f>
        <v>0</v>
      </c>
      <c r="L442" s="126"/>
      <c r="M442" s="126"/>
      <c r="N442" s="126"/>
      <c r="O442" s="130"/>
      <c r="P442" s="130"/>
      <c r="Q442" s="130"/>
      <c r="R442" s="130"/>
      <c r="S442" s="130"/>
      <c r="T442" s="131"/>
      <c r="U442" s="131"/>
    </row>
    <row r="443" spans="2:21" ht="7.5" customHeight="1" x14ac:dyDescent="0.2">
      <c r="B443" s="80"/>
      <c r="C443" s="81"/>
      <c r="D443" s="82"/>
      <c r="E443" s="83"/>
      <c r="F443" s="84"/>
      <c r="G443" s="84"/>
      <c r="H443" s="84"/>
      <c r="I443" s="84"/>
      <c r="J443" s="84"/>
      <c r="K443" s="84"/>
      <c r="L443" s="126"/>
      <c r="M443" s="126"/>
      <c r="N443" s="126"/>
      <c r="O443" s="130"/>
      <c r="P443" s="130"/>
      <c r="Q443" s="130"/>
      <c r="R443" s="130"/>
      <c r="S443" s="130"/>
      <c r="T443" s="131"/>
      <c r="U443" s="131"/>
    </row>
    <row r="444" spans="2:21" x14ac:dyDescent="0.2">
      <c r="B444" s="76" t="s">
        <v>124</v>
      </c>
      <c r="C444" s="77">
        <v>42463</v>
      </c>
      <c r="D444" s="85" t="s">
        <v>129</v>
      </c>
      <c r="E444" s="79" t="s">
        <v>120</v>
      </c>
      <c r="F444" s="86" t="str">
        <f>WomenSuperLeague!A16</f>
        <v>WSL-13</v>
      </c>
      <c r="G444" s="86" t="str">
        <f>WomenSuperLeague!B16</f>
        <v>2nd Round</v>
      </c>
      <c r="H444" s="86" t="str">
        <f>WomenSuperLeague!C16</f>
        <v>FLEUR DE LYS TWISTEES</v>
      </c>
      <c r="I444" s="86" t="str">
        <f>WomenSuperLeague!D16</f>
        <v>PAOLA</v>
      </c>
      <c r="J444" s="86">
        <f>WomenSuperLeague!E16</f>
        <v>3</v>
      </c>
      <c r="K444" s="86">
        <f>WomenSuperLeague!F16</f>
        <v>2</v>
      </c>
      <c r="L444" s="126"/>
      <c r="M444" s="126"/>
      <c r="N444" s="126"/>
      <c r="O444" s="130"/>
      <c r="P444" s="130"/>
      <c r="Q444" s="130"/>
      <c r="R444" s="130"/>
      <c r="S444" s="130"/>
      <c r="T444" s="131"/>
      <c r="U444" s="131"/>
    </row>
    <row r="445" spans="2:21" ht="7.5" customHeight="1" x14ac:dyDescent="0.2">
      <c r="B445" s="80"/>
      <c r="C445" s="81"/>
      <c r="D445" s="82"/>
      <c r="E445" s="83"/>
      <c r="F445" s="84"/>
      <c r="G445" s="84"/>
      <c r="H445" s="84"/>
      <c r="I445" s="84"/>
      <c r="J445" s="84"/>
      <c r="K445" s="84"/>
      <c r="L445" s="126"/>
      <c r="M445" s="126"/>
      <c r="N445" s="126"/>
      <c r="O445" s="130"/>
      <c r="P445" s="130"/>
      <c r="Q445" s="130"/>
      <c r="R445" s="130"/>
      <c r="S445" s="130"/>
      <c r="T445" s="131"/>
      <c r="U445" s="131"/>
    </row>
    <row r="446" spans="2:21" x14ac:dyDescent="0.2">
      <c r="B446" s="76" t="s">
        <v>124</v>
      </c>
      <c r="C446" s="77">
        <v>42463</v>
      </c>
      <c r="D446" s="85" t="s">
        <v>130</v>
      </c>
      <c r="E446" s="79" t="s">
        <v>120</v>
      </c>
      <c r="F446" s="86" t="str">
        <f>WomenSuperLeague!A17</f>
        <v>WSL-14</v>
      </c>
      <c r="G446" s="86" t="str">
        <f>WomenSuperLeague!B17</f>
        <v>2nd Round</v>
      </c>
      <c r="H446" s="86" t="str">
        <f>WomenSuperLeague!C17</f>
        <v>BALZAN FLYERS CROSSCRAFT</v>
      </c>
      <c r="I446" s="86" t="str">
        <f>WomenSuperLeague!D17</f>
        <v>BALZAN FLYERS CROSSCRAFT 2</v>
      </c>
      <c r="J446" s="86">
        <f>WomenSuperLeague!E17</f>
        <v>3</v>
      </c>
      <c r="K446" s="86">
        <f>WomenSuperLeague!F17</f>
        <v>0</v>
      </c>
      <c r="L446" s="126"/>
      <c r="M446" s="126"/>
      <c r="N446" s="126"/>
      <c r="O446" s="130"/>
      <c r="P446" s="130"/>
      <c r="Q446" s="130"/>
      <c r="R446" s="130"/>
      <c r="S446" s="130"/>
      <c r="T446" s="131"/>
      <c r="U446" s="131"/>
    </row>
    <row r="447" spans="2:21" ht="7.5" customHeight="1" x14ac:dyDescent="0.2">
      <c r="B447" s="80"/>
      <c r="C447" s="81"/>
      <c r="D447" s="82"/>
      <c r="E447" s="83"/>
      <c r="F447" s="84"/>
      <c r="G447" s="84"/>
      <c r="H447" s="84"/>
      <c r="I447" s="84"/>
      <c r="J447" s="84"/>
      <c r="K447" s="84"/>
      <c r="L447" s="126"/>
      <c r="M447" s="126"/>
      <c r="N447" s="126"/>
      <c r="O447" s="130"/>
      <c r="P447" s="130"/>
      <c r="Q447" s="130"/>
      <c r="R447" s="130"/>
      <c r="S447" s="130"/>
      <c r="T447" s="131"/>
      <c r="U447" s="131"/>
    </row>
    <row r="448" spans="2:21" x14ac:dyDescent="0.2">
      <c r="B448" s="76" t="s">
        <v>124</v>
      </c>
      <c r="C448" s="77">
        <v>42463</v>
      </c>
      <c r="D448" s="85" t="s">
        <v>133</v>
      </c>
      <c r="E448" s="79" t="s">
        <v>120</v>
      </c>
      <c r="F448" s="86" t="str">
        <f>MenLeagueGames!A23</f>
        <v>ML-20</v>
      </c>
      <c r="G448" s="86" t="str">
        <f>MenLeagueGames!B23</f>
        <v>PlayOffs</v>
      </c>
      <c r="H448" s="86" t="str">
        <f>MenLeagueGames!C23</f>
        <v>ALOYSIANS</v>
      </c>
      <c r="I448" s="86" t="str">
        <f>MenLeagueGames!D23</f>
        <v>FLEUR DE LYS TWISTEES</v>
      </c>
      <c r="J448" s="86">
        <f>MenLeagueGames!E23</f>
        <v>2</v>
      </c>
      <c r="K448" s="86">
        <f>MenLeagueGames!F23</f>
        <v>3</v>
      </c>
    </row>
    <row r="449" spans="2:21" ht="7.5" customHeight="1" x14ac:dyDescent="0.2">
      <c r="B449" s="80"/>
      <c r="C449" s="81"/>
      <c r="D449" s="82"/>
      <c r="E449" s="83"/>
      <c r="F449" s="84"/>
      <c r="G449" s="84"/>
      <c r="H449" s="84"/>
      <c r="I449" s="84"/>
      <c r="J449" s="84"/>
      <c r="K449" s="84"/>
      <c r="L449" s="126"/>
      <c r="M449" s="126"/>
      <c r="N449" s="126"/>
      <c r="O449" s="130"/>
      <c r="P449" s="130"/>
      <c r="Q449" s="130"/>
      <c r="R449" s="130"/>
      <c r="S449" s="130"/>
      <c r="T449" s="131"/>
      <c r="U449" s="131"/>
    </row>
    <row r="451" spans="2:21" x14ac:dyDescent="0.2">
      <c r="B451" s="76" t="s">
        <v>121</v>
      </c>
      <c r="C451" s="77">
        <v>42469</v>
      </c>
      <c r="D451" s="78" t="s">
        <v>129</v>
      </c>
      <c r="E451" s="79" t="s">
        <v>120</v>
      </c>
      <c r="F451" s="86" t="str">
        <f>Women1stDivLeague!A18</f>
        <v>W1L-15</v>
      </c>
      <c r="G451" s="86" t="str">
        <f>Women1stDivLeague!B18</f>
        <v>2nd Round</v>
      </c>
      <c r="H451" s="86" t="str">
        <f>Women1stDivLeague!C18</f>
        <v>MGARR</v>
      </c>
      <c r="I451" s="86" t="str">
        <f>Women1stDivLeague!D18</f>
        <v>SLIEMA WANDERERS</v>
      </c>
      <c r="J451" s="86">
        <f>Women1stDivLeague!E18</f>
        <v>1</v>
      </c>
      <c r="K451" s="86">
        <f>Women1stDivLeague!F18</f>
        <v>3</v>
      </c>
      <c r="M451" s="126"/>
      <c r="N451" s="126"/>
      <c r="O451" s="130"/>
      <c r="P451" s="130"/>
      <c r="Q451" s="130"/>
      <c r="R451" s="130"/>
      <c r="S451" s="130"/>
      <c r="T451" s="131"/>
      <c r="U451" s="131"/>
    </row>
    <row r="452" spans="2:21" ht="7.5" customHeight="1" x14ac:dyDescent="0.2">
      <c r="B452" s="80"/>
      <c r="C452" s="81"/>
      <c r="D452" s="82"/>
      <c r="E452" s="83"/>
      <c r="F452" s="84"/>
      <c r="G452" s="84"/>
      <c r="H452" s="84"/>
      <c r="I452" s="84"/>
      <c r="J452" s="84"/>
      <c r="K452" s="84"/>
      <c r="L452" s="126"/>
      <c r="M452" s="126"/>
      <c r="N452" s="126"/>
      <c r="O452" s="130"/>
      <c r="P452" s="130"/>
      <c r="Q452" s="130"/>
      <c r="R452" s="130"/>
      <c r="S452" s="130"/>
      <c r="T452" s="131"/>
      <c r="U452" s="131"/>
    </row>
    <row r="453" spans="2:21" ht="15.75" x14ac:dyDescent="0.25">
      <c r="B453" s="76" t="s">
        <v>121</v>
      </c>
      <c r="C453" s="77">
        <v>42469</v>
      </c>
      <c r="D453" s="78" t="s">
        <v>130</v>
      </c>
      <c r="E453" s="79" t="s">
        <v>120</v>
      </c>
      <c r="F453" s="86" t="str">
        <f>Women1stDivLeague!A19</f>
        <v>W1L-16</v>
      </c>
      <c r="G453" s="86" t="str">
        <f>Women1stDivLeague!B19</f>
        <v>2nd Round</v>
      </c>
      <c r="H453" s="86" t="str">
        <f>Women1stDivLeague!C19</f>
        <v>PLAYVOLLEY GENERAL MEMBRANE</v>
      </c>
      <c r="I453" s="86" t="str">
        <f>Women1stDivLeague!D19</f>
        <v>BIRKIRKARA</v>
      </c>
      <c r="J453" s="86">
        <f>Women1stDivLeague!E19</f>
        <v>3</v>
      </c>
      <c r="K453" s="86">
        <f>Women1stDivLeague!F19</f>
        <v>0</v>
      </c>
      <c r="L453" s="132" t="s">
        <v>139</v>
      </c>
      <c r="M453" s="126"/>
      <c r="N453" s="126"/>
      <c r="O453" s="130"/>
      <c r="P453" s="130"/>
      <c r="Q453" s="130"/>
      <c r="R453" s="130"/>
      <c r="S453" s="130"/>
      <c r="T453" s="131"/>
      <c r="U453" s="131"/>
    </row>
    <row r="454" spans="2:21" ht="7.5" customHeight="1" x14ac:dyDescent="0.2">
      <c r="B454" s="80"/>
      <c r="C454" s="81"/>
      <c r="D454" s="82"/>
      <c r="E454" s="83"/>
      <c r="F454" s="84"/>
      <c r="G454" s="84"/>
      <c r="H454" s="84"/>
      <c r="I454" s="84"/>
      <c r="J454" s="84"/>
      <c r="K454" s="84"/>
      <c r="L454" s="126"/>
      <c r="M454" s="126"/>
      <c r="N454" s="126"/>
      <c r="O454" s="130"/>
      <c r="P454" s="130"/>
      <c r="Q454" s="130"/>
      <c r="R454" s="130"/>
      <c r="S454" s="130"/>
      <c r="T454" s="131"/>
      <c r="U454" s="131"/>
    </row>
    <row r="455" spans="2:21" x14ac:dyDescent="0.2">
      <c r="B455" s="76" t="s">
        <v>121</v>
      </c>
      <c r="C455" s="77">
        <v>42469</v>
      </c>
      <c r="D455" s="85" t="s">
        <v>130</v>
      </c>
      <c r="E455" s="79" t="s">
        <v>120</v>
      </c>
      <c r="F455" s="86" t="str">
        <f>MenLeagueGames!A24</f>
        <v>ML-21</v>
      </c>
      <c r="G455" s="86" t="str">
        <f>MenLeagueGames!B24</f>
        <v>PlayOffs</v>
      </c>
      <c r="H455" s="86" t="str">
        <f>MenLeagueGames!C24</f>
        <v>MGARR</v>
      </c>
      <c r="I455" s="86" t="str">
        <f>MenLeagueGames!D24</f>
        <v>VALLETTA MAPEI</v>
      </c>
      <c r="J455" s="86">
        <f>MenLeagueGames!E24</f>
        <v>0</v>
      </c>
      <c r="K455" s="86">
        <f>MenLeagueGames!F24</f>
        <v>3</v>
      </c>
    </row>
    <row r="456" spans="2:21" ht="7.5" customHeight="1" x14ac:dyDescent="0.2">
      <c r="B456" s="80"/>
      <c r="C456" s="81"/>
      <c r="D456" s="82"/>
      <c r="E456" s="83"/>
      <c r="F456" s="84"/>
      <c r="G456" s="84"/>
      <c r="H456" s="84"/>
      <c r="I456" s="84"/>
      <c r="J456" s="84"/>
      <c r="K456" s="84"/>
      <c r="L456" s="126"/>
      <c r="M456" s="126"/>
      <c r="N456" s="126"/>
      <c r="O456" s="130"/>
      <c r="P456" s="130"/>
      <c r="Q456" s="130"/>
      <c r="R456" s="130"/>
      <c r="S456" s="130"/>
      <c r="T456" s="131"/>
      <c r="U456" s="131"/>
    </row>
    <row r="457" spans="2:21" x14ac:dyDescent="0.2">
      <c r="B457" s="76" t="s">
        <v>121</v>
      </c>
      <c r="C457" s="77">
        <v>42469</v>
      </c>
      <c r="D457" s="85" t="s">
        <v>133</v>
      </c>
      <c r="E457" s="79" t="s">
        <v>120</v>
      </c>
      <c r="F457" s="86" t="str">
        <f>MenLeagueGames!A25</f>
        <v>ML-22</v>
      </c>
      <c r="G457" s="86" t="str">
        <f>MenLeagueGames!B25</f>
        <v>PlayOffs</v>
      </c>
      <c r="H457" s="86" t="str">
        <f>MenLeagueGames!C25</f>
        <v>FLEUR DE LYS TWISTEES</v>
      </c>
      <c r="I457" s="86" t="str">
        <f>MenLeagueGames!D25</f>
        <v>ALOYSIANS</v>
      </c>
      <c r="J457" s="86">
        <f>MenLeagueGames!E25</f>
        <v>2</v>
      </c>
      <c r="K457" s="86">
        <f>MenLeagueGames!F25</f>
        <v>3</v>
      </c>
    </row>
    <row r="458" spans="2:21" ht="7.5" customHeight="1" x14ac:dyDescent="0.2">
      <c r="B458" s="80"/>
      <c r="C458" s="81"/>
      <c r="D458" s="82"/>
      <c r="E458" s="83"/>
      <c r="F458" s="84"/>
      <c r="G458" s="84"/>
      <c r="H458" s="84"/>
      <c r="I458" s="84"/>
      <c r="J458" s="84"/>
      <c r="K458" s="84"/>
      <c r="L458" s="126"/>
      <c r="M458" s="126"/>
      <c r="N458" s="126"/>
      <c r="O458" s="130"/>
      <c r="P458" s="130"/>
      <c r="Q458" s="130"/>
      <c r="R458" s="130"/>
      <c r="S458" s="130"/>
      <c r="T458" s="131"/>
      <c r="U458" s="131"/>
    </row>
    <row r="460" spans="2:21" x14ac:dyDescent="0.2">
      <c r="B460" s="76" t="s">
        <v>124</v>
      </c>
      <c r="C460" s="77">
        <v>42470</v>
      </c>
      <c r="D460" s="85" t="s">
        <v>382</v>
      </c>
      <c r="E460" s="79" t="s">
        <v>120</v>
      </c>
      <c r="F460" s="86" t="str">
        <f>WomenUnder14!A8</f>
        <v>WU14L-05</v>
      </c>
      <c r="G460" s="86" t="str">
        <f>WomenUnder14!B8</f>
        <v>2nd Round</v>
      </c>
      <c r="H460" s="86" t="str">
        <f>WomenUnder14!C8</f>
        <v>SWIEQI PHOENIX</v>
      </c>
      <c r="I460" s="86" t="str">
        <f>WomenUnder14!D8</f>
        <v>BALZAN FLYERS CROSSCRAFT</v>
      </c>
      <c r="J460" s="86">
        <f>WomenUnder14!E8</f>
        <v>1</v>
      </c>
      <c r="K460" s="86">
        <f>WomenUnder14!F8</f>
        <v>2</v>
      </c>
      <c r="L460" s="126"/>
      <c r="M460" s="126"/>
      <c r="N460" s="126"/>
      <c r="O460" s="130"/>
      <c r="P460" s="130"/>
      <c r="Q460" s="130"/>
      <c r="R460" s="130"/>
      <c r="S460" s="130"/>
      <c r="T460" s="131"/>
      <c r="U460" s="131"/>
    </row>
    <row r="461" spans="2:21" ht="7.5" customHeight="1" x14ac:dyDescent="0.2">
      <c r="B461" s="80"/>
      <c r="C461" s="81"/>
      <c r="D461" s="82"/>
      <c r="E461" s="83"/>
      <c r="F461" s="84"/>
      <c r="G461" s="84"/>
      <c r="H461" s="84"/>
      <c r="I461" s="84"/>
      <c r="J461" s="84"/>
      <c r="K461" s="84"/>
      <c r="L461" s="126"/>
      <c r="M461" s="126"/>
      <c r="N461" s="126"/>
      <c r="O461" s="130"/>
      <c r="P461" s="130"/>
      <c r="Q461" s="130"/>
      <c r="R461" s="130"/>
      <c r="S461" s="130"/>
      <c r="T461" s="131"/>
      <c r="U461" s="131"/>
    </row>
    <row r="462" spans="2:21" x14ac:dyDescent="0.2">
      <c r="B462" s="76" t="s">
        <v>124</v>
      </c>
      <c r="C462" s="77">
        <v>42470</v>
      </c>
      <c r="D462" s="85" t="s">
        <v>140</v>
      </c>
      <c r="E462" s="79" t="s">
        <v>120</v>
      </c>
      <c r="F462" s="86" t="str">
        <f>WomenUnder14!A9</f>
        <v>WU14L-06</v>
      </c>
      <c r="G462" s="86" t="str">
        <f>WomenUnder14!B9</f>
        <v>2nd Round</v>
      </c>
      <c r="H462" s="86" t="str">
        <f>WomenUnder14!C9</f>
        <v>BALZAN FLYERS CROSSCRAFT</v>
      </c>
      <c r="I462" s="86" t="str">
        <f>WomenUnder14!D9</f>
        <v>PAOLA</v>
      </c>
      <c r="J462" s="86">
        <f>WomenUnder14!E9</f>
        <v>2</v>
      </c>
      <c r="K462" s="86">
        <f>WomenUnder14!F9</f>
        <v>0</v>
      </c>
      <c r="L462" s="126"/>
      <c r="M462" s="126"/>
      <c r="N462" s="126"/>
      <c r="O462" s="130"/>
      <c r="P462" s="130"/>
      <c r="Q462" s="130"/>
      <c r="R462" s="130"/>
      <c r="S462" s="130"/>
      <c r="T462" s="131"/>
      <c r="U462" s="131"/>
    </row>
    <row r="463" spans="2:21" ht="7.5" customHeight="1" x14ac:dyDescent="0.2">
      <c r="B463" s="80"/>
      <c r="C463" s="81"/>
      <c r="D463" s="82"/>
      <c r="E463" s="83"/>
      <c r="F463" s="84"/>
      <c r="G463" s="84"/>
      <c r="H463" s="84"/>
      <c r="I463" s="84"/>
      <c r="J463" s="84"/>
      <c r="K463" s="84"/>
      <c r="L463" s="126"/>
      <c r="M463" s="126"/>
      <c r="N463" s="126"/>
      <c r="O463" s="130"/>
      <c r="P463" s="130"/>
      <c r="Q463" s="130"/>
      <c r="R463" s="130"/>
      <c r="S463" s="130"/>
      <c r="T463" s="131"/>
      <c r="U463" s="131"/>
    </row>
    <row r="464" spans="2:21" x14ac:dyDescent="0.2">
      <c r="B464" s="76" t="s">
        <v>124</v>
      </c>
      <c r="C464" s="77">
        <v>42470</v>
      </c>
      <c r="D464" s="85" t="s">
        <v>129</v>
      </c>
      <c r="E464" s="79" t="s">
        <v>120</v>
      </c>
      <c r="F464" s="86" t="str">
        <f>WomenSuperLeague!A18</f>
        <v>WSL-15</v>
      </c>
      <c r="G464" s="86" t="str">
        <f>WomenSuperLeague!B18</f>
        <v>2nd Round</v>
      </c>
      <c r="H464" s="86" t="str">
        <f>WomenSuperLeague!C18</f>
        <v>MELLIEHA TRITONES</v>
      </c>
      <c r="I464" s="86" t="str">
        <f>WomenSuperLeague!D18</f>
        <v>BALZAN FLYERS CROSSCRAFT</v>
      </c>
      <c r="J464" s="86">
        <f>WomenSuperLeague!E18</f>
        <v>0</v>
      </c>
      <c r="K464" s="86">
        <f>WomenSuperLeague!F18</f>
        <v>3</v>
      </c>
      <c r="L464" s="126"/>
      <c r="M464" s="126"/>
      <c r="N464" s="126"/>
      <c r="O464" s="130"/>
      <c r="P464" s="130"/>
      <c r="Q464" s="130"/>
      <c r="R464" s="130"/>
      <c r="S464" s="130"/>
      <c r="T464" s="131"/>
      <c r="U464" s="131"/>
    </row>
    <row r="465" spans="2:21" ht="7.5" customHeight="1" x14ac:dyDescent="0.2">
      <c r="B465" s="80"/>
      <c r="C465" s="81"/>
      <c r="D465" s="82"/>
      <c r="E465" s="83"/>
      <c r="F465" s="84"/>
      <c r="G465" s="84"/>
      <c r="H465" s="84"/>
      <c r="I465" s="84"/>
      <c r="J465" s="84"/>
      <c r="K465" s="84"/>
      <c r="L465" s="126"/>
      <c r="M465" s="126"/>
      <c r="N465" s="126"/>
      <c r="O465" s="130"/>
      <c r="P465" s="130"/>
      <c r="Q465" s="130"/>
      <c r="R465" s="130"/>
      <c r="S465" s="130"/>
      <c r="T465" s="131"/>
      <c r="U465" s="131"/>
    </row>
    <row r="466" spans="2:21" x14ac:dyDescent="0.2">
      <c r="B466" s="76" t="s">
        <v>124</v>
      </c>
      <c r="C466" s="77">
        <v>42470</v>
      </c>
      <c r="D466" s="85" t="s">
        <v>130</v>
      </c>
      <c r="E466" s="79" t="s">
        <v>120</v>
      </c>
      <c r="F466" s="86" t="str">
        <f>WomenSuperLeague!A19</f>
        <v>WSL-16</v>
      </c>
      <c r="G466" s="86" t="str">
        <f>WomenSuperLeague!B19</f>
        <v>2nd Round</v>
      </c>
      <c r="H466" s="86" t="str">
        <f>WomenSuperLeague!C19</f>
        <v>PAOLA</v>
      </c>
      <c r="I466" s="86" t="str">
        <f>WomenSuperLeague!D19</f>
        <v>BALZAN FLYERS CROSSCRAFT 2</v>
      </c>
      <c r="J466" s="86">
        <f>WomenSuperLeague!E19</f>
        <v>3</v>
      </c>
      <c r="K466" s="86">
        <f>WomenSuperLeague!F19</f>
        <v>2</v>
      </c>
      <c r="L466" s="126"/>
      <c r="M466" s="126"/>
      <c r="N466" s="126"/>
      <c r="O466" s="130"/>
      <c r="P466" s="130"/>
      <c r="Q466" s="130"/>
      <c r="R466" s="130"/>
      <c r="S466" s="130"/>
      <c r="T466" s="131"/>
      <c r="U466" s="131"/>
    </row>
    <row r="467" spans="2:21" ht="7.5" customHeight="1" x14ac:dyDescent="0.2">
      <c r="B467" s="80"/>
      <c r="C467" s="81"/>
      <c r="D467" s="82"/>
      <c r="E467" s="83"/>
      <c r="F467" s="84"/>
      <c r="G467" s="84"/>
      <c r="H467" s="84"/>
      <c r="I467" s="84"/>
      <c r="J467" s="84"/>
      <c r="K467" s="84"/>
      <c r="L467" s="126"/>
      <c r="M467" s="126"/>
      <c r="N467" s="126"/>
      <c r="O467" s="130"/>
      <c r="P467" s="130"/>
      <c r="Q467" s="130"/>
      <c r="R467" s="130"/>
      <c r="S467" s="130"/>
      <c r="T467" s="131"/>
      <c r="U467" s="131"/>
    </row>
    <row r="468" spans="2:21" x14ac:dyDescent="0.2">
      <c r="B468" s="76" t="s">
        <v>124</v>
      </c>
      <c r="C468" s="77">
        <v>42470</v>
      </c>
      <c r="D468" s="85" t="s">
        <v>133</v>
      </c>
      <c r="E468" s="79" t="s">
        <v>120</v>
      </c>
      <c r="F468" s="86"/>
      <c r="G468" s="86"/>
      <c r="H468" s="86"/>
      <c r="I468" s="86"/>
      <c r="J468" s="86"/>
      <c r="K468" s="86"/>
    </row>
    <row r="469" spans="2:21" ht="7.5" customHeight="1" x14ac:dyDescent="0.2">
      <c r="B469" s="80"/>
      <c r="C469" s="81"/>
      <c r="D469" s="82"/>
      <c r="E469" s="83"/>
      <c r="F469" s="84"/>
      <c r="G469" s="84"/>
      <c r="H469" s="84"/>
      <c r="I469" s="84"/>
      <c r="J469" s="84"/>
      <c r="K469" s="84"/>
      <c r="L469" s="126"/>
      <c r="M469" s="126"/>
      <c r="N469" s="126"/>
      <c r="O469" s="130"/>
      <c r="P469" s="130"/>
      <c r="Q469" s="130"/>
      <c r="R469" s="130"/>
      <c r="S469" s="130"/>
      <c r="T469" s="131"/>
      <c r="U469" s="131"/>
    </row>
    <row r="470" spans="2:21" x14ac:dyDescent="0.2">
      <c r="B470" s="76" t="s">
        <v>124</v>
      </c>
      <c r="C470" s="77">
        <v>42470</v>
      </c>
      <c r="D470" s="85" t="s">
        <v>136</v>
      </c>
      <c r="E470" s="79" t="s">
        <v>388</v>
      </c>
      <c r="F470" s="86" t="str">
        <f>WomenUnder16!A5</f>
        <v>WU16L-02</v>
      </c>
      <c r="G470" s="86" t="str">
        <f>WomenUnder16!B5</f>
        <v>1st Round</v>
      </c>
      <c r="H470" s="86" t="str">
        <f>WomenUnder16!C5</f>
        <v>SWIEQI PHOENIX</v>
      </c>
      <c r="I470" s="86" t="str">
        <f>WomenUnder16!D5</f>
        <v>FLEUR DE LYS TWISTEES</v>
      </c>
      <c r="J470" s="86">
        <f>WomenUnder16!E5</f>
        <v>0</v>
      </c>
      <c r="K470" s="86">
        <f>WomenUnder16!F5</f>
        <v>3</v>
      </c>
      <c r="L470" s="126"/>
      <c r="M470" s="126"/>
      <c r="N470" s="126"/>
      <c r="O470" s="130"/>
      <c r="P470" s="130"/>
      <c r="Q470" s="130"/>
      <c r="R470" s="130"/>
      <c r="S470" s="130"/>
      <c r="T470" s="131"/>
      <c r="U470" s="131"/>
    </row>
    <row r="471" spans="2:21" ht="7.5" customHeight="1" x14ac:dyDescent="0.2">
      <c r="B471" s="80"/>
      <c r="C471" s="81"/>
      <c r="D471" s="82"/>
      <c r="E471" s="83"/>
      <c r="F471" s="84"/>
      <c r="G471" s="84"/>
      <c r="H471" s="84"/>
      <c r="I471" s="84"/>
      <c r="J471" s="84"/>
      <c r="K471" s="84"/>
      <c r="L471" s="126"/>
      <c r="M471" s="126"/>
      <c r="N471" s="126"/>
      <c r="O471" s="130"/>
      <c r="P471" s="130"/>
      <c r="Q471" s="130"/>
      <c r="R471" s="130"/>
      <c r="S471" s="130"/>
      <c r="T471" s="131"/>
      <c r="U471" s="131"/>
    </row>
    <row r="472" spans="2:21" x14ac:dyDescent="0.2">
      <c r="B472" s="76" t="s">
        <v>124</v>
      </c>
      <c r="C472" s="77">
        <v>42470</v>
      </c>
      <c r="D472" s="85" t="s">
        <v>389</v>
      </c>
      <c r="E472" s="79" t="s">
        <v>388</v>
      </c>
      <c r="F472" s="86" t="str">
        <f>WomenUnder18!A12</f>
        <v>WU18L-09</v>
      </c>
      <c r="G472" s="86" t="str">
        <f>WomenUnder18!B12</f>
        <v>3rd Round</v>
      </c>
      <c r="H472" s="86" t="str">
        <f>WomenUnder18!C12</f>
        <v>FLEUR DE LYS TWISTEES</v>
      </c>
      <c r="I472" s="86" t="str">
        <f>WomenUnder18!D12</f>
        <v>SWIEQI PHOENIX</v>
      </c>
      <c r="J472" s="86">
        <f>WomenUnder18!E12</f>
        <v>0</v>
      </c>
      <c r="K472" s="86">
        <f>WomenUnder18!F12</f>
        <v>3</v>
      </c>
      <c r="L472" s="126"/>
      <c r="M472" s="126"/>
      <c r="N472" s="126"/>
      <c r="O472" s="130"/>
      <c r="P472" s="130"/>
      <c r="Q472" s="130"/>
      <c r="R472" s="130"/>
      <c r="S472" s="130"/>
      <c r="T472" s="131"/>
      <c r="U472" s="131"/>
    </row>
    <row r="473" spans="2:21" ht="7.5" customHeight="1" x14ac:dyDescent="0.2">
      <c r="B473" s="80"/>
      <c r="C473" s="81"/>
      <c r="D473" s="82"/>
      <c r="E473" s="83"/>
      <c r="F473" s="84"/>
      <c r="G473" s="84"/>
      <c r="H473" s="84"/>
      <c r="I473" s="84"/>
      <c r="J473" s="84"/>
      <c r="K473" s="84"/>
      <c r="L473" s="126"/>
      <c r="M473" s="126"/>
      <c r="N473" s="126"/>
      <c r="O473" s="130"/>
      <c r="P473" s="130"/>
      <c r="Q473" s="130"/>
      <c r="R473" s="130"/>
      <c r="S473" s="130"/>
      <c r="T473" s="131"/>
      <c r="U473" s="131"/>
    </row>
    <row r="475" spans="2:21" x14ac:dyDescent="0.2">
      <c r="B475" s="76" t="s">
        <v>127</v>
      </c>
      <c r="C475" s="77">
        <v>42472</v>
      </c>
      <c r="D475" s="85" t="s">
        <v>119</v>
      </c>
      <c r="E475" s="79" t="s">
        <v>120</v>
      </c>
      <c r="F475" s="86" t="str">
        <f>MenLeagueGames!A26</f>
        <v>ML-23</v>
      </c>
      <c r="G475" s="86" t="str">
        <f>MenLeagueGames!B26</f>
        <v>PlayOffs</v>
      </c>
      <c r="H475" s="86" t="str">
        <f>MenLeagueGames!C26</f>
        <v>VALLETTA MAPEI</v>
      </c>
      <c r="I475" s="86" t="str">
        <f>MenLeagueGames!D26</f>
        <v>MGARR</v>
      </c>
      <c r="J475" s="86" t="str">
        <f>MenLeagueGames!E26</f>
        <v>N</v>
      </c>
      <c r="K475" s="86" t="str">
        <f>MenLeagueGames!F26</f>
        <v>A</v>
      </c>
      <c r="L475" s="124" t="s">
        <v>158</v>
      </c>
    </row>
    <row r="476" spans="2:21" ht="7.5" customHeight="1" x14ac:dyDescent="0.2">
      <c r="B476" s="80"/>
      <c r="C476" s="81"/>
      <c r="D476" s="82"/>
      <c r="E476" s="83"/>
      <c r="F476" s="84"/>
      <c r="G476" s="84"/>
      <c r="H476" s="84"/>
      <c r="I476" s="84"/>
      <c r="J476" s="84"/>
      <c r="K476" s="84"/>
      <c r="L476" s="126"/>
      <c r="M476" s="126"/>
      <c r="N476" s="126"/>
      <c r="O476" s="130"/>
      <c r="P476" s="130"/>
      <c r="Q476" s="130"/>
      <c r="R476" s="130"/>
      <c r="S476" s="130"/>
      <c r="T476" s="131"/>
      <c r="U476" s="131"/>
    </row>
    <row r="478" spans="2:21" x14ac:dyDescent="0.2">
      <c r="B478" s="76" t="s">
        <v>118</v>
      </c>
      <c r="C478" s="77">
        <v>42474</v>
      </c>
      <c r="D478" s="85" t="s">
        <v>119</v>
      </c>
      <c r="E478" s="79" t="s">
        <v>120</v>
      </c>
      <c r="F478" s="86" t="str">
        <f>MenLeagueGames!A27</f>
        <v>ML-24</v>
      </c>
      <c r="G478" s="86" t="str">
        <f>MenLeagueGames!B27</f>
        <v>PlayOffs</v>
      </c>
      <c r="H478" s="86" t="str">
        <f>MenLeagueGames!C27</f>
        <v>ALOYSIANS</v>
      </c>
      <c r="I478" s="86" t="str">
        <f>MenLeagueGames!D27</f>
        <v>FLEUR DE LYS TWISTEES</v>
      </c>
      <c r="J478" s="86">
        <f>MenLeagueGames!E27</f>
        <v>3</v>
      </c>
      <c r="K478" s="86">
        <f>MenLeagueGames!F27</f>
        <v>1</v>
      </c>
    </row>
    <row r="479" spans="2:21" ht="7.5" customHeight="1" x14ac:dyDescent="0.2">
      <c r="B479" s="80"/>
      <c r="C479" s="81"/>
      <c r="D479" s="82"/>
      <c r="E479" s="83"/>
      <c r="F479" s="84"/>
      <c r="G479" s="84"/>
      <c r="H479" s="84"/>
      <c r="I479" s="84"/>
      <c r="J479" s="84"/>
      <c r="K479" s="84"/>
      <c r="L479" s="126"/>
      <c r="M479" s="126"/>
      <c r="N479" s="126"/>
      <c r="O479" s="130"/>
      <c r="P479" s="130"/>
      <c r="Q479" s="130"/>
      <c r="R479" s="130"/>
      <c r="S479" s="130"/>
      <c r="T479" s="131"/>
      <c r="U479" s="131"/>
    </row>
    <row r="481" spans="2:21" x14ac:dyDescent="0.2">
      <c r="B481" s="76" t="s">
        <v>121</v>
      </c>
      <c r="C481" s="77">
        <v>42476</v>
      </c>
      <c r="D481" s="78" t="s">
        <v>129</v>
      </c>
      <c r="E481" s="79" t="s">
        <v>120</v>
      </c>
      <c r="F481" s="86" t="str">
        <f>Women1stDivLeague!A20</f>
        <v>W1L-17</v>
      </c>
      <c r="G481" s="86" t="str">
        <f>Women1stDivLeague!B20</f>
        <v>2nd Round</v>
      </c>
      <c r="H481" s="86" t="str">
        <f>Women1stDivLeague!C20</f>
        <v>SLIEMA WANDERERS</v>
      </c>
      <c r="I481" s="86" t="str">
        <f>Women1stDivLeague!D20</f>
        <v>SWIEQI PHOENIX</v>
      </c>
      <c r="J481" s="86">
        <f>Women1stDivLeague!E20</f>
        <v>3</v>
      </c>
      <c r="K481" s="86">
        <f>Women1stDivLeague!F20</f>
        <v>1</v>
      </c>
      <c r="L481" s="126"/>
      <c r="M481" s="126"/>
      <c r="N481" s="126"/>
      <c r="O481" s="130"/>
      <c r="P481" s="130"/>
      <c r="Q481" s="130"/>
      <c r="R481" s="130"/>
      <c r="S481" s="130"/>
      <c r="T481" s="131"/>
      <c r="U481" s="131"/>
    </row>
    <row r="482" spans="2:21" ht="7.5" customHeight="1" x14ac:dyDescent="0.2">
      <c r="B482" s="80"/>
      <c r="C482" s="81"/>
      <c r="D482" s="82"/>
      <c r="E482" s="83"/>
      <c r="F482" s="84"/>
      <c r="G482" s="84"/>
      <c r="H482" s="84"/>
      <c r="I482" s="84"/>
      <c r="J482" s="84"/>
      <c r="K482" s="84"/>
      <c r="L482" s="126"/>
      <c r="M482" s="126"/>
      <c r="N482" s="126"/>
      <c r="O482" s="130"/>
      <c r="P482" s="130"/>
      <c r="Q482" s="130"/>
      <c r="R482" s="130"/>
      <c r="S482" s="130"/>
      <c r="T482" s="131"/>
      <c r="U482" s="131"/>
    </row>
    <row r="483" spans="2:21" x14ac:dyDescent="0.2">
      <c r="B483" s="76" t="s">
        <v>121</v>
      </c>
      <c r="C483" s="77">
        <v>42476</v>
      </c>
      <c r="D483" s="78" t="s">
        <v>130</v>
      </c>
      <c r="E483" s="79" t="s">
        <v>120</v>
      </c>
      <c r="F483" s="86" t="str">
        <f>Women1stDivLeague!A21</f>
        <v>W1L-18</v>
      </c>
      <c r="G483" s="86" t="str">
        <f>Women1stDivLeague!B21</f>
        <v>2nd Round</v>
      </c>
      <c r="H483" s="86" t="str">
        <f>Women1stDivLeague!C21</f>
        <v>BIRKIRKARA</v>
      </c>
      <c r="I483" s="86" t="str">
        <f>Women1stDivLeague!D21</f>
        <v>MGARR</v>
      </c>
      <c r="J483" s="86">
        <f>Women1stDivLeague!E21</f>
        <v>0</v>
      </c>
      <c r="K483" s="86">
        <f>Women1stDivLeague!F21</f>
        <v>3</v>
      </c>
      <c r="L483" s="126"/>
      <c r="M483" s="126"/>
      <c r="N483" s="126"/>
      <c r="O483" s="130"/>
      <c r="P483" s="130"/>
      <c r="Q483" s="130"/>
      <c r="R483" s="130"/>
      <c r="S483" s="130"/>
      <c r="T483" s="131"/>
      <c r="U483" s="131"/>
    </row>
    <row r="484" spans="2:21" ht="7.5" customHeight="1" x14ac:dyDescent="0.2">
      <c r="B484" s="80"/>
      <c r="C484" s="81"/>
      <c r="D484" s="82"/>
      <c r="E484" s="83"/>
      <c r="F484" s="84"/>
      <c r="G484" s="84"/>
      <c r="H484" s="84"/>
      <c r="I484" s="84"/>
      <c r="J484" s="84"/>
      <c r="K484" s="84"/>
      <c r="L484" s="126"/>
      <c r="M484" s="126"/>
      <c r="N484" s="126"/>
      <c r="O484" s="130"/>
      <c r="P484" s="130"/>
      <c r="Q484" s="130"/>
      <c r="R484" s="130"/>
      <c r="S484" s="130"/>
      <c r="T484" s="131"/>
      <c r="U484" s="131"/>
    </row>
    <row r="485" spans="2:21" x14ac:dyDescent="0.2">
      <c r="B485" s="76" t="s">
        <v>121</v>
      </c>
      <c r="C485" s="77">
        <v>42476</v>
      </c>
      <c r="D485" s="85" t="s">
        <v>133</v>
      </c>
      <c r="E485" s="79" t="s">
        <v>120</v>
      </c>
      <c r="F485" s="86" t="str">
        <f>MenLeagueGames!A28</f>
        <v>ML-25</v>
      </c>
      <c r="G485" s="86" t="str">
        <f>MenLeagueGames!B28</f>
        <v>Final 3/4</v>
      </c>
      <c r="H485" s="86" t="str">
        <f>MenLeagueGames!C28</f>
        <v>MGARR</v>
      </c>
      <c r="I485" s="86" t="str">
        <f>MenLeagueGames!D28</f>
        <v>FLEUR DE LYS TWISTEES</v>
      </c>
      <c r="J485" s="86">
        <f>MenLeagueGames!E28</f>
        <v>3</v>
      </c>
      <c r="K485" s="86">
        <f>MenLeagueGames!F28</f>
        <v>0</v>
      </c>
    </row>
    <row r="486" spans="2:21" ht="7.5" customHeight="1" x14ac:dyDescent="0.2">
      <c r="B486" s="80"/>
      <c r="C486" s="81"/>
      <c r="D486" s="82"/>
      <c r="E486" s="83"/>
      <c r="F486" s="84"/>
      <c r="G486" s="84"/>
      <c r="H486" s="84"/>
      <c r="I486" s="84"/>
      <c r="J486" s="84"/>
      <c r="K486" s="84"/>
      <c r="L486" s="126"/>
      <c r="M486" s="126"/>
      <c r="N486" s="126"/>
      <c r="O486" s="130"/>
      <c r="P486" s="130"/>
      <c r="Q486" s="130"/>
      <c r="R486" s="130"/>
      <c r="S486" s="130"/>
      <c r="T486" s="131"/>
      <c r="U486" s="131"/>
    </row>
    <row r="488" spans="2:21" x14ac:dyDescent="0.2">
      <c r="B488" s="76" t="s">
        <v>124</v>
      </c>
      <c r="C488" s="77">
        <v>42477</v>
      </c>
      <c r="D488" s="85" t="s">
        <v>140</v>
      </c>
      <c r="E488" s="79" t="s">
        <v>120</v>
      </c>
      <c r="F488" s="86" t="str">
        <f>WomenUnder14!A10</f>
        <v>WU14L-07</v>
      </c>
      <c r="G488" s="86" t="str">
        <f>WomenUnder14!B10</f>
        <v>3rd Round</v>
      </c>
      <c r="H488" s="86" t="str">
        <f>WomenUnder14!C10</f>
        <v>SWIEQI PHOENIX</v>
      </c>
      <c r="I488" s="86" t="str">
        <f>WomenUnder14!D10</f>
        <v>PAOLA</v>
      </c>
      <c r="J488" s="86">
        <f>WomenUnder14!E10</f>
        <v>2</v>
      </c>
      <c r="K488" s="86">
        <f>WomenUnder14!F10</f>
        <v>0</v>
      </c>
      <c r="L488" s="126"/>
      <c r="M488" s="126"/>
      <c r="N488" s="126"/>
      <c r="O488" s="130"/>
      <c r="P488" s="130"/>
      <c r="Q488" s="130"/>
      <c r="R488" s="130"/>
      <c r="S488" s="130"/>
      <c r="T488" s="131"/>
      <c r="U488" s="131"/>
    </row>
    <row r="489" spans="2:21" ht="7.5" customHeight="1" x14ac:dyDescent="0.2">
      <c r="B489" s="80"/>
      <c r="C489" s="81"/>
      <c r="D489" s="82"/>
      <c r="E489" s="83"/>
      <c r="F489" s="84"/>
      <c r="G489" s="84"/>
      <c r="H489" s="84"/>
      <c r="I489" s="84"/>
      <c r="J489" s="84"/>
      <c r="K489" s="84"/>
      <c r="L489" s="126"/>
      <c r="M489" s="126"/>
      <c r="N489" s="126"/>
      <c r="O489" s="130"/>
      <c r="P489" s="130"/>
      <c r="Q489" s="130"/>
      <c r="R489" s="130"/>
      <c r="S489" s="130"/>
      <c r="T489" s="131"/>
      <c r="U489" s="131"/>
    </row>
    <row r="490" spans="2:21" x14ac:dyDescent="0.2">
      <c r="B490" s="76" t="s">
        <v>124</v>
      </c>
      <c r="C490" s="77">
        <v>42477</v>
      </c>
      <c r="D490" s="85" t="s">
        <v>387</v>
      </c>
      <c r="E490" s="79" t="s">
        <v>120</v>
      </c>
      <c r="F490" s="86" t="str">
        <f>WomenUnder14!A11</f>
        <v>WU14L-08</v>
      </c>
      <c r="G490" s="86" t="str">
        <f>WomenUnder14!B11</f>
        <v>3rd Round</v>
      </c>
      <c r="H490" s="86" t="str">
        <f>WomenUnder14!C11</f>
        <v>SWIEQI PHOENIX</v>
      </c>
      <c r="I490" s="86" t="str">
        <f>WomenUnder14!D11</f>
        <v>BALZAN FLYERS CROSSCRAFT</v>
      </c>
      <c r="J490" s="86">
        <f>WomenUnder14!E11</f>
        <v>2</v>
      </c>
      <c r="K490" s="86">
        <f>WomenUnder14!F11</f>
        <v>0</v>
      </c>
      <c r="L490" s="126"/>
      <c r="M490" s="126"/>
      <c r="N490" s="126"/>
      <c r="O490" s="130"/>
      <c r="P490" s="130"/>
      <c r="Q490" s="130"/>
      <c r="R490" s="130"/>
      <c r="S490" s="130"/>
      <c r="T490" s="131"/>
      <c r="U490" s="131"/>
    </row>
    <row r="491" spans="2:21" ht="7.5" customHeight="1" x14ac:dyDescent="0.2">
      <c r="B491" s="80"/>
      <c r="C491" s="81"/>
      <c r="D491" s="82"/>
      <c r="E491" s="83"/>
      <c r="F491" s="84"/>
      <c r="G491" s="84"/>
      <c r="H491" s="84"/>
      <c r="I491" s="84"/>
      <c r="J491" s="84"/>
      <c r="K491" s="84"/>
      <c r="L491" s="126"/>
      <c r="M491" s="126"/>
      <c r="N491" s="126"/>
      <c r="O491" s="130"/>
      <c r="P491" s="130"/>
      <c r="Q491" s="130"/>
      <c r="R491" s="130"/>
      <c r="S491" s="130"/>
      <c r="T491" s="131"/>
      <c r="U491" s="131"/>
    </row>
    <row r="492" spans="2:21" x14ac:dyDescent="0.2">
      <c r="B492" s="76" t="s">
        <v>124</v>
      </c>
      <c r="C492" s="77">
        <v>42477</v>
      </c>
      <c r="D492" s="85" t="s">
        <v>129</v>
      </c>
      <c r="E492" s="79" t="s">
        <v>120</v>
      </c>
      <c r="F492" s="86" t="str">
        <f>WomenSuperLeague!A20</f>
        <v>WSL-17</v>
      </c>
      <c r="G492" s="86" t="str">
        <f>WomenSuperLeague!B20</f>
        <v>2nd Round</v>
      </c>
      <c r="H492" s="86" t="str">
        <f>WomenSuperLeague!C20</f>
        <v>BALZAN FLYERS CROSSCRAFT</v>
      </c>
      <c r="I492" s="86" t="str">
        <f>WomenSuperLeague!D20</f>
        <v>FLEUR DE LYS TWISTEES</v>
      </c>
      <c r="J492" s="86">
        <f>WomenSuperLeague!E20</f>
        <v>3</v>
      </c>
      <c r="K492" s="86">
        <f>WomenSuperLeague!F20</f>
        <v>0</v>
      </c>
      <c r="L492" s="126"/>
      <c r="M492" s="126"/>
      <c r="N492" s="126"/>
      <c r="O492" s="130"/>
      <c r="P492" s="130"/>
      <c r="Q492" s="130"/>
      <c r="R492" s="130"/>
      <c r="S492" s="130"/>
      <c r="T492" s="131"/>
      <c r="U492" s="131"/>
    </row>
    <row r="493" spans="2:21" ht="7.5" customHeight="1" x14ac:dyDescent="0.2">
      <c r="B493" s="80"/>
      <c r="C493" s="81"/>
      <c r="D493" s="82"/>
      <c r="E493" s="83"/>
      <c r="F493" s="84"/>
      <c r="G493" s="84"/>
      <c r="H493" s="84"/>
      <c r="I493" s="84"/>
      <c r="J493" s="84"/>
      <c r="K493" s="84"/>
      <c r="L493" s="126"/>
      <c r="M493" s="126"/>
      <c r="N493" s="126"/>
      <c r="O493" s="130"/>
      <c r="P493" s="130"/>
      <c r="Q493" s="130"/>
      <c r="R493" s="130"/>
      <c r="S493" s="130"/>
      <c r="T493" s="131"/>
      <c r="U493" s="131"/>
    </row>
    <row r="494" spans="2:21" x14ac:dyDescent="0.2">
      <c r="B494" s="76" t="s">
        <v>124</v>
      </c>
      <c r="C494" s="77">
        <v>42477</v>
      </c>
      <c r="D494" s="85" t="s">
        <v>130</v>
      </c>
      <c r="E494" s="79" t="s">
        <v>120</v>
      </c>
      <c r="F494" s="86" t="str">
        <f>WomenSuperLeague!A21</f>
        <v>WSL-18</v>
      </c>
      <c r="G494" s="86" t="str">
        <f>WomenSuperLeague!B21</f>
        <v>2nd Round</v>
      </c>
      <c r="H494" s="86" t="str">
        <f>WomenSuperLeague!C21</f>
        <v>BALZAN FLYERS CROSSCRAFT 2</v>
      </c>
      <c r="I494" s="86" t="str">
        <f>WomenSuperLeague!D21</f>
        <v>MELLIEHA TRITONES</v>
      </c>
      <c r="J494" s="86">
        <f>WomenSuperLeague!E21</f>
        <v>0</v>
      </c>
      <c r="K494" s="86">
        <f>WomenSuperLeague!F21</f>
        <v>3</v>
      </c>
      <c r="L494" s="126"/>
      <c r="M494" s="126"/>
      <c r="N494" s="126"/>
      <c r="O494" s="130"/>
      <c r="P494" s="130"/>
      <c r="Q494" s="130"/>
      <c r="R494" s="130"/>
      <c r="S494" s="130"/>
      <c r="T494" s="131"/>
      <c r="U494" s="131"/>
    </row>
    <row r="495" spans="2:21" ht="7.5" customHeight="1" x14ac:dyDescent="0.2">
      <c r="B495" s="80"/>
      <c r="C495" s="81"/>
      <c r="D495" s="82"/>
      <c r="E495" s="83"/>
      <c r="F495" s="84"/>
      <c r="G495" s="84"/>
      <c r="H495" s="84"/>
      <c r="I495" s="84"/>
      <c r="J495" s="84"/>
      <c r="K495" s="84"/>
      <c r="L495" s="126"/>
      <c r="M495" s="126"/>
      <c r="N495" s="126"/>
      <c r="O495" s="130"/>
      <c r="P495" s="130"/>
      <c r="Q495" s="130"/>
      <c r="R495" s="130"/>
      <c r="S495" s="130"/>
      <c r="T495" s="131"/>
      <c r="U495" s="131"/>
    </row>
    <row r="496" spans="2:21" x14ac:dyDescent="0.2">
      <c r="B496" s="76" t="s">
        <v>124</v>
      </c>
      <c r="C496" s="77">
        <v>42477</v>
      </c>
      <c r="D496" s="85" t="s">
        <v>133</v>
      </c>
      <c r="E496" s="79" t="s">
        <v>120</v>
      </c>
      <c r="F496" s="86" t="str">
        <f>MenLeagueGames!A29</f>
        <v>ML-26</v>
      </c>
      <c r="G496" s="86" t="str">
        <f>MenLeagueGames!B29</f>
        <v>Final 1/2</v>
      </c>
      <c r="H496" s="86" t="str">
        <f>MenLeagueGames!C29</f>
        <v>VALLETTA MAPEI</v>
      </c>
      <c r="I496" s="86" t="str">
        <f>MenLeagueGames!D29</f>
        <v>ALOYSIANS</v>
      </c>
      <c r="J496" s="86">
        <f>MenLeagueGames!E29</f>
        <v>3</v>
      </c>
      <c r="K496" s="86">
        <f>MenLeagueGames!F29</f>
        <v>0</v>
      </c>
    </row>
    <row r="497" spans="2:21" ht="7.5" customHeight="1" x14ac:dyDescent="0.2">
      <c r="B497" s="80"/>
      <c r="C497" s="81"/>
      <c r="D497" s="82"/>
      <c r="E497" s="83"/>
      <c r="F497" s="84"/>
      <c r="G497" s="84"/>
      <c r="H497" s="84"/>
      <c r="I497" s="84"/>
      <c r="J497" s="84"/>
      <c r="K497" s="84"/>
      <c r="L497" s="126"/>
      <c r="M497" s="126"/>
      <c r="N497" s="126"/>
      <c r="O497" s="130"/>
      <c r="P497" s="130"/>
      <c r="Q497" s="130"/>
      <c r="R497" s="130"/>
      <c r="S497" s="130"/>
      <c r="T497" s="131"/>
      <c r="U497" s="131"/>
    </row>
    <row r="499" spans="2:21" ht="15.75" x14ac:dyDescent="0.25">
      <c r="B499" s="76" t="s">
        <v>121</v>
      </c>
      <c r="C499" s="77">
        <v>42483</v>
      </c>
      <c r="D499" s="78" t="s">
        <v>129</v>
      </c>
      <c r="E499" s="79" t="s">
        <v>120</v>
      </c>
      <c r="F499" s="86" t="str">
        <f>Women1stDivLeague!A22</f>
        <v>W1L-19</v>
      </c>
      <c r="G499" s="86" t="str">
        <f>Women1stDivLeague!B22</f>
        <v>2nd Round</v>
      </c>
      <c r="H499" s="86" t="str">
        <f>Women1stDivLeague!C22</f>
        <v>MGARR</v>
      </c>
      <c r="I499" s="86" t="str">
        <f>Women1stDivLeague!D22</f>
        <v>SWIEQI PHOENIX</v>
      </c>
      <c r="J499" s="86">
        <f>Women1stDivLeague!E22</f>
        <v>1</v>
      </c>
      <c r="K499" s="86">
        <f>Women1stDivLeague!F22</f>
        <v>3</v>
      </c>
      <c r="L499" s="132" t="s">
        <v>139</v>
      </c>
      <c r="M499" s="126"/>
      <c r="N499" s="126"/>
      <c r="O499" s="130"/>
      <c r="P499" s="130"/>
      <c r="Q499" s="130"/>
      <c r="R499" s="130"/>
      <c r="S499" s="130"/>
      <c r="T499" s="131"/>
      <c r="U499" s="131"/>
    </row>
    <row r="500" spans="2:21" ht="7.5" customHeight="1" x14ac:dyDescent="0.2">
      <c r="B500" s="80"/>
      <c r="C500" s="81"/>
      <c r="D500" s="82"/>
      <c r="E500" s="83"/>
      <c r="F500" s="84"/>
      <c r="G500" s="84"/>
      <c r="H500" s="84"/>
      <c r="I500" s="84"/>
      <c r="J500" s="84"/>
      <c r="K500" s="84"/>
      <c r="L500" s="126"/>
      <c r="M500" s="126"/>
      <c r="N500" s="126"/>
      <c r="O500" s="130"/>
      <c r="P500" s="130"/>
      <c r="Q500" s="130"/>
      <c r="R500" s="130"/>
      <c r="S500" s="130"/>
      <c r="T500" s="131"/>
      <c r="U500" s="131"/>
    </row>
    <row r="501" spans="2:21" x14ac:dyDescent="0.2">
      <c r="B501" s="76" t="s">
        <v>121</v>
      </c>
      <c r="C501" s="77">
        <v>42483</v>
      </c>
      <c r="D501" s="78" t="s">
        <v>130</v>
      </c>
      <c r="E501" s="79" t="s">
        <v>120</v>
      </c>
      <c r="F501" s="86" t="str">
        <f>Women1stDivLeague!A23</f>
        <v>W1L-20</v>
      </c>
      <c r="G501" s="86" t="str">
        <f>Women1stDivLeague!B23</f>
        <v>2nd Round</v>
      </c>
      <c r="H501" s="86" t="str">
        <f>Women1stDivLeague!C23</f>
        <v>PLAYVOLLEY GENERAL MEMBRANE</v>
      </c>
      <c r="I501" s="86" t="str">
        <f>Women1stDivLeague!D23</f>
        <v>SLIEMA WANDERERS</v>
      </c>
      <c r="J501" s="86">
        <f>Women1stDivLeague!E23</f>
        <v>3</v>
      </c>
      <c r="K501" s="86">
        <f>Women1stDivLeague!F23</f>
        <v>2</v>
      </c>
      <c r="M501" s="126"/>
      <c r="N501" s="126"/>
      <c r="O501" s="130"/>
      <c r="P501" s="130"/>
      <c r="Q501" s="130"/>
      <c r="R501" s="130"/>
      <c r="S501" s="130"/>
      <c r="T501" s="131"/>
      <c r="U501" s="131"/>
    </row>
    <row r="502" spans="2:21" ht="7.5" customHeight="1" x14ac:dyDescent="0.2">
      <c r="B502" s="80"/>
      <c r="C502" s="81"/>
      <c r="D502" s="82"/>
      <c r="E502" s="83"/>
      <c r="F502" s="84"/>
      <c r="G502" s="84"/>
      <c r="H502" s="84"/>
      <c r="I502" s="84"/>
      <c r="J502" s="84"/>
      <c r="K502" s="84"/>
      <c r="L502" s="126"/>
      <c r="M502" s="126"/>
      <c r="N502" s="126"/>
      <c r="O502" s="130"/>
      <c r="P502" s="130"/>
      <c r="Q502" s="130"/>
      <c r="R502" s="130"/>
      <c r="S502" s="130"/>
      <c r="T502" s="131"/>
      <c r="U502" s="131"/>
    </row>
    <row r="503" spans="2:21" x14ac:dyDescent="0.2">
      <c r="B503" s="76" t="s">
        <v>121</v>
      </c>
      <c r="C503" s="77">
        <v>42483</v>
      </c>
      <c r="D503" s="85" t="s">
        <v>133</v>
      </c>
      <c r="E503" s="79" t="s">
        <v>120</v>
      </c>
      <c r="F503" s="86" t="str">
        <f>MenLeagueGames!A30</f>
        <v>ML-27</v>
      </c>
      <c r="G503" s="86" t="str">
        <f>MenLeagueGames!B30</f>
        <v>Final 1/2</v>
      </c>
      <c r="H503" s="86" t="str">
        <f>MenLeagueGames!C30</f>
        <v>ALOYSIANS</v>
      </c>
      <c r="I503" s="86" t="str">
        <f>MenLeagueGames!D30</f>
        <v>VALLETTA MAPEI</v>
      </c>
      <c r="J503" s="86">
        <f>MenLeagueGames!E30</f>
        <v>1</v>
      </c>
      <c r="K503" s="86">
        <f>MenLeagueGames!F30</f>
        <v>3</v>
      </c>
    </row>
    <row r="504" spans="2:21" ht="7.5" customHeight="1" x14ac:dyDescent="0.2">
      <c r="B504" s="80"/>
      <c r="C504" s="81"/>
      <c r="D504" s="82"/>
      <c r="E504" s="83"/>
      <c r="F504" s="84"/>
      <c r="G504" s="84"/>
      <c r="H504" s="84"/>
      <c r="I504" s="84"/>
      <c r="J504" s="84"/>
      <c r="K504" s="84"/>
      <c r="L504" s="126"/>
      <c r="M504" s="126"/>
      <c r="N504" s="126"/>
      <c r="O504" s="130"/>
      <c r="P504" s="130"/>
      <c r="Q504" s="130"/>
      <c r="R504" s="130"/>
      <c r="S504" s="130"/>
      <c r="T504" s="131"/>
      <c r="U504" s="131"/>
    </row>
    <row r="506" spans="2:21" x14ac:dyDescent="0.2">
      <c r="B506" s="76" t="s">
        <v>124</v>
      </c>
      <c r="C506" s="77">
        <v>42484</v>
      </c>
      <c r="D506" s="85" t="s">
        <v>382</v>
      </c>
      <c r="E506" s="79" t="s">
        <v>120</v>
      </c>
      <c r="F506" s="86" t="str">
        <f>WomenUnder14!A12</f>
        <v>WU14L-09</v>
      </c>
      <c r="G506" s="86" t="str">
        <f>WomenUnder14!B12</f>
        <v>3rd Round</v>
      </c>
      <c r="H506" s="86" t="str">
        <f>WomenUnder14!C12</f>
        <v>BALZAN FLYERS CROSSCRAFT</v>
      </c>
      <c r="I506" s="86" t="str">
        <f>WomenUnder14!D12</f>
        <v>PAOLA</v>
      </c>
      <c r="J506" s="86">
        <f>WomenUnder14!E12</f>
        <v>2</v>
      </c>
      <c r="K506" s="86">
        <f>WomenUnder14!F12</f>
        <v>1</v>
      </c>
      <c r="L506" s="126"/>
      <c r="M506" s="126"/>
      <c r="N506" s="126"/>
      <c r="O506" s="130"/>
      <c r="P506" s="130"/>
      <c r="Q506" s="130"/>
      <c r="R506" s="130"/>
      <c r="S506" s="130"/>
      <c r="T506" s="131"/>
      <c r="U506" s="131"/>
    </row>
    <row r="507" spans="2:21" ht="7.5" customHeight="1" x14ac:dyDescent="0.2">
      <c r="B507" s="80"/>
      <c r="C507" s="81"/>
      <c r="D507" s="82"/>
      <c r="E507" s="83"/>
      <c r="F507" s="84"/>
      <c r="G507" s="84"/>
      <c r="H507" s="84"/>
      <c r="I507" s="84"/>
      <c r="J507" s="84"/>
      <c r="K507" s="84"/>
      <c r="L507" s="126"/>
      <c r="M507" s="126"/>
      <c r="N507" s="126"/>
      <c r="O507" s="130"/>
      <c r="P507" s="130"/>
      <c r="Q507" s="130"/>
      <c r="R507" s="130"/>
      <c r="S507" s="130"/>
      <c r="T507" s="131"/>
      <c r="U507" s="131"/>
    </row>
    <row r="508" spans="2:21" x14ac:dyDescent="0.2">
      <c r="B508" s="76" t="s">
        <v>124</v>
      </c>
      <c r="C508" s="77">
        <v>42484</v>
      </c>
      <c r="D508" s="85" t="s">
        <v>140</v>
      </c>
      <c r="E508" s="79" t="s">
        <v>120</v>
      </c>
      <c r="F508" s="86" t="str">
        <f>WomenUnder14!A13</f>
        <v>WU14L-10</v>
      </c>
      <c r="G508" s="86" t="str">
        <f>WomenUnder14!B13</f>
        <v>4th Round</v>
      </c>
      <c r="H508" s="86" t="str">
        <f>WomenUnder14!C13</f>
        <v>SWIEQI PHOENIX</v>
      </c>
      <c r="I508" s="86" t="str">
        <f>WomenUnder14!D13</f>
        <v>PAOLA</v>
      </c>
      <c r="J508" s="86">
        <f>WomenUnder14!E13</f>
        <v>2</v>
      </c>
      <c r="K508" s="86">
        <f>WomenUnder14!F13</f>
        <v>0</v>
      </c>
      <c r="L508" s="126"/>
      <c r="M508" s="126"/>
      <c r="N508" s="126"/>
      <c r="O508" s="130"/>
      <c r="P508" s="130"/>
      <c r="Q508" s="130"/>
      <c r="R508" s="130"/>
      <c r="S508" s="130"/>
      <c r="T508" s="131"/>
      <c r="U508" s="131"/>
    </row>
    <row r="509" spans="2:21" ht="7.5" customHeight="1" x14ac:dyDescent="0.2">
      <c r="B509" s="80"/>
      <c r="C509" s="81"/>
      <c r="D509" s="82"/>
      <c r="E509" s="83"/>
      <c r="F509" s="84"/>
      <c r="G509" s="84"/>
      <c r="H509" s="84"/>
      <c r="I509" s="84"/>
      <c r="J509" s="84"/>
      <c r="K509" s="84"/>
      <c r="L509" s="126"/>
      <c r="M509" s="126"/>
      <c r="N509" s="126"/>
      <c r="O509" s="130"/>
      <c r="P509" s="130"/>
      <c r="Q509" s="130"/>
      <c r="R509" s="130"/>
      <c r="S509" s="130"/>
      <c r="T509" s="131"/>
      <c r="U509" s="131"/>
    </row>
    <row r="510" spans="2:21" x14ac:dyDescent="0.2">
      <c r="B510" s="76" t="s">
        <v>124</v>
      </c>
      <c r="C510" s="77">
        <v>42484</v>
      </c>
      <c r="D510" s="85" t="s">
        <v>129</v>
      </c>
      <c r="E510" s="79" t="s">
        <v>120</v>
      </c>
      <c r="F510" s="86" t="str">
        <f>WomenSuperLeague!A22</f>
        <v>WSL-19</v>
      </c>
      <c r="G510" s="86" t="str">
        <f>WomenSuperLeague!B22</f>
        <v>2nd Round</v>
      </c>
      <c r="H510" s="86" t="str">
        <f>WomenSuperLeague!C22</f>
        <v>MELLIEHA TRITONES</v>
      </c>
      <c r="I510" s="86" t="str">
        <f>WomenSuperLeague!D22</f>
        <v>FLEUR DE LYS TWISTEES</v>
      </c>
      <c r="J510" s="86">
        <f>WomenSuperLeague!E22</f>
        <v>0</v>
      </c>
      <c r="K510" s="86">
        <f>WomenSuperLeague!F22</f>
        <v>3</v>
      </c>
      <c r="L510" s="126"/>
      <c r="M510" s="126"/>
      <c r="N510" s="126"/>
      <c r="O510" s="130"/>
      <c r="P510" s="130"/>
      <c r="Q510" s="130"/>
      <c r="R510" s="130"/>
      <c r="S510" s="130"/>
      <c r="T510" s="131"/>
      <c r="U510" s="131"/>
    </row>
    <row r="511" spans="2:21" ht="7.5" customHeight="1" x14ac:dyDescent="0.2">
      <c r="B511" s="80"/>
      <c r="C511" s="81"/>
      <c r="D511" s="82"/>
      <c r="E511" s="83"/>
      <c r="F511" s="84"/>
      <c r="G511" s="84"/>
      <c r="H511" s="84"/>
      <c r="I511" s="84"/>
      <c r="J511" s="84"/>
      <c r="K511" s="84"/>
      <c r="L511" s="126"/>
      <c r="M511" s="126"/>
      <c r="N511" s="126"/>
      <c r="O511" s="130"/>
      <c r="P511" s="130"/>
      <c r="Q511" s="130"/>
      <c r="R511" s="130"/>
      <c r="S511" s="130"/>
      <c r="T511" s="131"/>
      <c r="U511" s="131"/>
    </row>
    <row r="512" spans="2:21" x14ac:dyDescent="0.2">
      <c r="B512" s="76" t="s">
        <v>124</v>
      </c>
      <c r="C512" s="77">
        <v>42484</v>
      </c>
      <c r="D512" s="85" t="s">
        <v>130</v>
      </c>
      <c r="E512" s="79" t="s">
        <v>120</v>
      </c>
      <c r="F512" s="86" t="str">
        <f>WomenSuperLeague!A23</f>
        <v>WSL-20</v>
      </c>
      <c r="G512" s="86" t="str">
        <f>WomenSuperLeague!B23</f>
        <v>2nd Round</v>
      </c>
      <c r="H512" s="86" t="str">
        <f>WomenSuperLeague!C23</f>
        <v>PAOLA</v>
      </c>
      <c r="I512" s="86" t="str">
        <f>WomenSuperLeague!D23</f>
        <v>BALZAN FLYERS CROSSCRAFT</v>
      </c>
      <c r="J512" s="86">
        <f>WomenSuperLeague!E23</f>
        <v>1</v>
      </c>
      <c r="K512" s="86">
        <f>WomenSuperLeague!F23</f>
        <v>3</v>
      </c>
      <c r="L512" s="126"/>
      <c r="M512" s="126"/>
      <c r="N512" s="126"/>
      <c r="O512" s="130"/>
      <c r="P512" s="130"/>
      <c r="Q512" s="130"/>
      <c r="R512" s="130"/>
      <c r="S512" s="130"/>
      <c r="T512" s="131"/>
      <c r="U512" s="131"/>
    </row>
    <row r="513" spans="2:21" ht="7.5" customHeight="1" x14ac:dyDescent="0.2">
      <c r="B513" s="80"/>
      <c r="C513" s="81"/>
      <c r="D513" s="82"/>
      <c r="E513" s="83"/>
      <c r="F513" s="84"/>
      <c r="G513" s="84"/>
      <c r="H513" s="84"/>
      <c r="I513" s="84"/>
      <c r="J513" s="84"/>
      <c r="K513" s="84"/>
      <c r="L513" s="126"/>
      <c r="M513" s="126"/>
      <c r="N513" s="126"/>
      <c r="O513" s="130"/>
      <c r="P513" s="130"/>
      <c r="Q513" s="130"/>
      <c r="R513" s="130"/>
      <c r="S513" s="130"/>
      <c r="T513" s="131"/>
      <c r="U513" s="131"/>
    </row>
    <row r="514" spans="2:21" x14ac:dyDescent="0.2">
      <c r="B514" s="76" t="s">
        <v>124</v>
      </c>
      <c r="C514" s="77">
        <v>42484</v>
      </c>
      <c r="D514" s="85" t="s">
        <v>133</v>
      </c>
      <c r="E514" s="79" t="s">
        <v>120</v>
      </c>
      <c r="F514" s="86" t="str">
        <f>MenLeagueGames!A31</f>
        <v>ML-28</v>
      </c>
      <c r="G514" s="86" t="str">
        <f>MenLeagueGames!B31</f>
        <v>Final 1/2</v>
      </c>
      <c r="H514" s="86" t="str">
        <f>MenLeagueGames!C31</f>
        <v>VALLETTA MAPEI</v>
      </c>
      <c r="I514" s="86" t="str">
        <f>MenLeagueGames!D31</f>
        <v>ALOYSIANS</v>
      </c>
      <c r="J514" s="86" t="str">
        <f>MenLeagueGames!E31</f>
        <v>N</v>
      </c>
      <c r="K514" s="86" t="str">
        <f>MenLeagueGames!F31</f>
        <v>A</v>
      </c>
      <c r="L514" s="124" t="s">
        <v>159</v>
      </c>
    </row>
    <row r="515" spans="2:21" ht="7.5" customHeight="1" x14ac:dyDescent="0.2">
      <c r="B515" s="80"/>
      <c r="C515" s="81"/>
      <c r="D515" s="82"/>
      <c r="E515" s="83"/>
      <c r="F515" s="84"/>
      <c r="G515" s="84"/>
      <c r="H515" s="84"/>
      <c r="I515" s="84"/>
      <c r="J515" s="84"/>
      <c r="K515" s="84"/>
      <c r="L515" s="126"/>
      <c r="M515" s="126"/>
      <c r="N515" s="126"/>
      <c r="O515" s="130"/>
      <c r="P515" s="130"/>
      <c r="Q515" s="130"/>
      <c r="R515" s="130"/>
      <c r="S515" s="130"/>
      <c r="T515" s="131"/>
      <c r="U515" s="131"/>
    </row>
    <row r="517" spans="2:21" x14ac:dyDescent="0.2">
      <c r="B517" s="76" t="s">
        <v>121</v>
      </c>
      <c r="C517" s="77">
        <v>42490</v>
      </c>
      <c r="D517" s="78" t="s">
        <v>129</v>
      </c>
      <c r="E517" s="79" t="s">
        <v>120</v>
      </c>
      <c r="F517" s="86" t="str">
        <f>WomenSuperLeague!A14</f>
        <v>WSL-11</v>
      </c>
      <c r="G517" s="86" t="str">
        <f>WomenSuperLeague!B14</f>
        <v>2nd Round</v>
      </c>
      <c r="H517" s="86" t="str">
        <f>WomenSuperLeague!C14</f>
        <v>MELLIEHA TRITONES</v>
      </c>
      <c r="I517" s="86" t="str">
        <f>WomenSuperLeague!D14</f>
        <v>PAOLA</v>
      </c>
      <c r="J517" s="86">
        <f>WomenSuperLeague!E14</f>
        <v>0</v>
      </c>
      <c r="K517" s="86">
        <f>WomenSuperLeague!F14</f>
        <v>3</v>
      </c>
      <c r="M517" s="126"/>
      <c r="N517" s="126"/>
      <c r="O517" s="130"/>
      <c r="P517" s="130"/>
      <c r="Q517" s="130"/>
      <c r="R517" s="130"/>
      <c r="S517" s="130"/>
      <c r="T517" s="131"/>
      <c r="U517" s="131"/>
    </row>
    <row r="518" spans="2:21" ht="7.5" customHeight="1" x14ac:dyDescent="0.2">
      <c r="B518" s="80"/>
      <c r="C518" s="81"/>
      <c r="D518" s="82"/>
      <c r="E518" s="83"/>
      <c r="F518" s="84"/>
      <c r="G518" s="84"/>
      <c r="H518" s="84"/>
      <c r="I518" s="84"/>
      <c r="J518" s="84"/>
      <c r="K518" s="84"/>
      <c r="L518" s="126"/>
      <c r="M518" s="126"/>
      <c r="N518" s="126"/>
      <c r="O518" s="130"/>
      <c r="P518" s="130"/>
      <c r="Q518" s="130"/>
      <c r="R518" s="130"/>
      <c r="S518" s="130"/>
      <c r="T518" s="131"/>
      <c r="U518" s="131"/>
    </row>
    <row r="519" spans="2:21" ht="15.75" x14ac:dyDescent="0.25">
      <c r="B519" s="76" t="s">
        <v>121</v>
      </c>
      <c r="C519" s="77">
        <v>42490</v>
      </c>
      <c r="D519" s="78" t="s">
        <v>130</v>
      </c>
      <c r="E519" s="79" t="s">
        <v>120</v>
      </c>
      <c r="F519" s="86" t="str">
        <f>WomenSuperLeague!A5</f>
        <v>WSL-02</v>
      </c>
      <c r="G519" s="86" t="str">
        <f>WomenSuperLeague!B5</f>
        <v>1st Round</v>
      </c>
      <c r="H519" s="86" t="str">
        <f>WomenSuperLeague!C5</f>
        <v>BALZAN FLYERS CROSSCRAFT 2</v>
      </c>
      <c r="I519" s="86" t="str">
        <f>WomenSuperLeague!D5</f>
        <v>FLEUR DE LYS TWISTEES</v>
      </c>
      <c r="J519" s="86">
        <f>WomenSuperLeague!E5</f>
        <v>0</v>
      </c>
      <c r="K519" s="86">
        <f>WomenSuperLeague!F5</f>
        <v>3</v>
      </c>
      <c r="L519" s="132" t="s">
        <v>139</v>
      </c>
      <c r="M519" s="126"/>
      <c r="N519" s="126"/>
      <c r="O519" s="130"/>
      <c r="P519" s="130"/>
      <c r="Q519" s="130"/>
      <c r="R519" s="130"/>
      <c r="S519" s="130"/>
      <c r="T519" s="131"/>
      <c r="U519" s="131"/>
    </row>
    <row r="520" spans="2:21" ht="7.5" customHeight="1" x14ac:dyDescent="0.2">
      <c r="B520" s="80"/>
      <c r="C520" s="81"/>
      <c r="D520" s="82"/>
      <c r="E520" s="83"/>
      <c r="F520" s="84"/>
      <c r="G520" s="84"/>
      <c r="H520" s="84"/>
      <c r="I520" s="84"/>
      <c r="J520" s="84"/>
      <c r="K520" s="84"/>
      <c r="L520" s="126"/>
      <c r="M520" s="126"/>
      <c r="N520" s="126"/>
      <c r="O520" s="130"/>
      <c r="P520" s="130"/>
      <c r="Q520" s="130"/>
      <c r="R520" s="130"/>
      <c r="S520" s="130"/>
      <c r="T520" s="131"/>
      <c r="U520" s="131"/>
    </row>
    <row r="522" spans="2:21" x14ac:dyDescent="0.2">
      <c r="B522" s="76" t="s">
        <v>124</v>
      </c>
      <c r="C522" s="77">
        <v>42491</v>
      </c>
      <c r="D522" s="78" t="s">
        <v>129</v>
      </c>
      <c r="E522" s="79" t="s">
        <v>120</v>
      </c>
      <c r="F522" s="86" t="str">
        <f>'WomenNational-Fr.ParnisCup'!A4</f>
        <v>WC-01</v>
      </c>
      <c r="G522" s="86" t="str">
        <f>'WomenNational-Fr.ParnisCup'!B4</f>
        <v>Quarter Final</v>
      </c>
      <c r="H522" s="86" t="str">
        <f>'WomenNational-Fr.ParnisCup'!C4</f>
        <v>MELLIEHA TRITONES</v>
      </c>
      <c r="I522" s="86" t="str">
        <f>'WomenNational-Fr.ParnisCup'!D4</f>
        <v>PAOLA</v>
      </c>
      <c r="J522" s="86">
        <f>'WomenNational-Fr.ParnisCup'!E4</f>
        <v>0</v>
      </c>
      <c r="K522" s="86">
        <f>'WomenNational-Fr.ParnisCup'!F4</f>
        <v>3</v>
      </c>
      <c r="L522" s="126"/>
      <c r="M522" s="126"/>
      <c r="N522" s="126"/>
      <c r="O522" s="130"/>
      <c r="P522" s="130"/>
      <c r="Q522" s="130"/>
      <c r="R522" s="130"/>
      <c r="S522" s="130"/>
      <c r="T522" s="131"/>
      <c r="U522" s="131"/>
    </row>
    <row r="523" spans="2:21" ht="7.5" customHeight="1" x14ac:dyDescent="0.2">
      <c r="B523" s="80"/>
      <c r="C523" s="81"/>
      <c r="D523" s="82"/>
      <c r="E523" s="83"/>
      <c r="F523" s="84"/>
      <c r="G523" s="84"/>
      <c r="H523" s="84"/>
      <c r="I523" s="84"/>
      <c r="J523" s="84"/>
      <c r="K523" s="84"/>
      <c r="L523" s="126"/>
      <c r="M523" s="126"/>
      <c r="N523" s="126"/>
      <c r="O523" s="130"/>
      <c r="P523" s="130"/>
      <c r="Q523" s="130"/>
      <c r="R523" s="130"/>
      <c r="S523" s="130"/>
      <c r="T523" s="131"/>
      <c r="U523" s="131"/>
    </row>
    <row r="524" spans="2:21" ht="15.75" x14ac:dyDescent="0.25">
      <c r="B524" s="76" t="s">
        <v>124</v>
      </c>
      <c r="C524" s="77">
        <v>42491</v>
      </c>
      <c r="D524" s="78" t="s">
        <v>130</v>
      </c>
      <c r="E524" s="79" t="s">
        <v>120</v>
      </c>
      <c r="F524" s="86" t="str">
        <f>'WomenNational-Fr.ParnisCup'!A5</f>
        <v>WC-02</v>
      </c>
      <c r="G524" s="86" t="str">
        <f>'WomenNational-Fr.ParnisCup'!B5</f>
        <v>Semi Final</v>
      </c>
      <c r="H524" s="86" t="str">
        <f>'WomenNational-Fr.ParnisCup'!C5</f>
        <v>SLIEMA WANDERERS</v>
      </c>
      <c r="I524" s="86" t="str">
        <f>'WomenNational-Fr.ParnisCup'!D5</f>
        <v>FLEUR DE LYS TWISTEES</v>
      </c>
      <c r="J524" s="86">
        <f>'WomenNational-Fr.ParnisCup'!E5</f>
        <v>0</v>
      </c>
      <c r="K524" s="86">
        <f>'WomenNational-Fr.ParnisCup'!F5</f>
        <v>3</v>
      </c>
      <c r="L524" s="132" t="s">
        <v>139</v>
      </c>
      <c r="M524" s="126"/>
      <c r="N524" s="126"/>
      <c r="O524" s="130"/>
      <c r="P524" s="130"/>
      <c r="Q524" s="130"/>
      <c r="R524" s="130"/>
      <c r="S524" s="130"/>
      <c r="T524" s="131"/>
      <c r="U524" s="131"/>
    </row>
    <row r="525" spans="2:21" ht="7.5" customHeight="1" x14ac:dyDescent="0.2">
      <c r="B525" s="80"/>
      <c r="C525" s="81"/>
      <c r="D525" s="82"/>
      <c r="E525" s="83"/>
      <c r="F525" s="84"/>
      <c r="G525" s="84"/>
      <c r="H525" s="84"/>
      <c r="I525" s="84"/>
      <c r="J525" s="84"/>
      <c r="K525" s="84"/>
      <c r="L525" s="126"/>
      <c r="M525" s="126"/>
      <c r="N525" s="126"/>
      <c r="O525" s="130"/>
      <c r="P525" s="130"/>
      <c r="Q525" s="130"/>
      <c r="R525" s="130"/>
      <c r="S525" s="130"/>
      <c r="T525" s="131"/>
      <c r="U525" s="131"/>
    </row>
    <row r="526" spans="2:21" x14ac:dyDescent="0.2">
      <c r="B526" s="76" t="s">
        <v>124</v>
      </c>
      <c r="C526" s="77">
        <v>42491</v>
      </c>
      <c r="D526" s="85" t="s">
        <v>133</v>
      </c>
      <c r="E526" s="79" t="s">
        <v>120</v>
      </c>
      <c r="F526" s="86" t="str">
        <f>Women1stDivLeague!A19</f>
        <v>W1L-16</v>
      </c>
      <c r="G526" s="86" t="str">
        <f>Women1stDivLeague!B19</f>
        <v>2nd Round</v>
      </c>
      <c r="H526" s="86" t="str">
        <f>Women1stDivLeague!C19</f>
        <v>PLAYVOLLEY GENERAL MEMBRANE</v>
      </c>
      <c r="I526" s="86" t="str">
        <f>Women1stDivLeague!D19</f>
        <v>BIRKIRKARA</v>
      </c>
      <c r="J526" s="86">
        <f>Women1stDivLeague!E19</f>
        <v>3</v>
      </c>
      <c r="K526" s="86">
        <f>Women1stDivLeague!F19</f>
        <v>0</v>
      </c>
    </row>
    <row r="527" spans="2:21" ht="7.5" customHeight="1" x14ac:dyDescent="0.2">
      <c r="B527" s="80"/>
      <c r="C527" s="81"/>
      <c r="D527" s="82"/>
      <c r="E527" s="83"/>
      <c r="F527" s="84"/>
      <c r="G527" s="84"/>
      <c r="H527" s="84"/>
      <c r="I527" s="84"/>
      <c r="J527" s="84"/>
      <c r="K527" s="84"/>
      <c r="L527" s="126"/>
      <c r="M527" s="126"/>
      <c r="N527" s="126"/>
      <c r="O527" s="130"/>
      <c r="P527" s="130"/>
      <c r="Q527" s="130"/>
      <c r="R527" s="130"/>
      <c r="S527" s="130"/>
      <c r="T527" s="131"/>
      <c r="U527" s="131"/>
    </row>
    <row r="529" spans="2:21" x14ac:dyDescent="0.2">
      <c r="B529" s="76" t="s">
        <v>118</v>
      </c>
      <c r="C529" s="77">
        <v>42495</v>
      </c>
      <c r="D529" s="85" t="s">
        <v>419</v>
      </c>
      <c r="E529" s="79" t="s">
        <v>420</v>
      </c>
      <c r="F529" s="86" t="str">
        <f>WomenSuperLeague!A5</f>
        <v>WSL-02</v>
      </c>
      <c r="G529" s="86" t="str">
        <f>WomenSuperLeague!B5</f>
        <v>1st Round</v>
      </c>
      <c r="H529" s="86" t="str">
        <f>WomenSuperLeague!C5</f>
        <v>BALZAN FLYERS CROSSCRAFT 2</v>
      </c>
      <c r="I529" s="86" t="str">
        <f>WomenSuperLeague!D5</f>
        <v>FLEUR DE LYS TWISTEES</v>
      </c>
      <c r="J529" s="86">
        <f>WomenSuperLeague!E5</f>
        <v>0</v>
      </c>
      <c r="K529" s="86">
        <f>WomenSuperLeague!F5</f>
        <v>3</v>
      </c>
    </row>
    <row r="530" spans="2:21" ht="7.5" customHeight="1" x14ac:dyDescent="0.2">
      <c r="B530" s="80"/>
      <c r="C530" s="81"/>
      <c r="D530" s="82"/>
      <c r="E530" s="83"/>
      <c r="F530" s="84"/>
      <c r="G530" s="84"/>
      <c r="H530" s="84"/>
      <c r="I530" s="84"/>
      <c r="J530" s="84"/>
      <c r="K530" s="84"/>
      <c r="L530" s="126"/>
      <c r="M530" s="126"/>
      <c r="N530" s="126"/>
      <c r="O530" s="130"/>
      <c r="P530" s="130"/>
      <c r="Q530" s="130"/>
      <c r="R530" s="130"/>
      <c r="S530" s="130"/>
      <c r="T530" s="131"/>
      <c r="U530" s="131"/>
    </row>
    <row r="532" spans="2:21" ht="15.75" x14ac:dyDescent="0.25">
      <c r="B532" s="76" t="s">
        <v>121</v>
      </c>
      <c r="C532" s="77">
        <v>42497</v>
      </c>
      <c r="D532" s="85" t="s">
        <v>129</v>
      </c>
      <c r="E532" s="79" t="s">
        <v>366</v>
      </c>
      <c r="F532" s="86" t="str">
        <f>Women1stDivLeague!A13</f>
        <v>W1L-10</v>
      </c>
      <c r="G532" s="86" t="str">
        <f>Women1stDivLeague!B13</f>
        <v>1st Round</v>
      </c>
      <c r="H532" s="86" t="str">
        <f>Women1stDivLeague!C13</f>
        <v>SWIEQI PHOENIX</v>
      </c>
      <c r="I532" s="86" t="str">
        <f>Women1stDivLeague!D13</f>
        <v>MGARR</v>
      </c>
      <c r="J532" s="86">
        <f>Women1stDivLeague!E13</f>
        <v>3</v>
      </c>
      <c r="K532" s="86">
        <f>Women1stDivLeague!F13</f>
        <v>0</v>
      </c>
      <c r="L532" s="197"/>
    </row>
    <row r="533" spans="2:21" ht="7.5" customHeight="1" x14ac:dyDescent="0.2">
      <c r="B533" s="80"/>
      <c r="C533" s="81"/>
      <c r="D533" s="82"/>
      <c r="E533" s="83"/>
      <c r="F533" s="84"/>
      <c r="G533" s="84"/>
      <c r="H533" s="84"/>
      <c r="I533" s="84"/>
      <c r="J533" s="84"/>
      <c r="K533" s="84"/>
      <c r="L533" s="126"/>
      <c r="M533" s="126"/>
      <c r="N533" s="126"/>
      <c r="O533" s="130"/>
      <c r="P533" s="130"/>
      <c r="Q533" s="130"/>
      <c r="R533" s="130"/>
      <c r="S533" s="130"/>
      <c r="T533" s="131"/>
      <c r="U533" s="131"/>
    </row>
    <row r="535" spans="2:21" ht="15.75" x14ac:dyDescent="0.25">
      <c r="B535" s="76" t="s">
        <v>124</v>
      </c>
      <c r="C535" s="77">
        <v>42498</v>
      </c>
      <c r="D535" s="85" t="s">
        <v>387</v>
      </c>
      <c r="E535" s="79" t="s">
        <v>366</v>
      </c>
      <c r="F535" s="86" t="str">
        <f>WomenUnder14!A14</f>
        <v>WU14L-11</v>
      </c>
      <c r="G535" s="86" t="str">
        <f>WomenUnder14!B14</f>
        <v>4th Round</v>
      </c>
      <c r="H535" s="86" t="str">
        <f>WomenUnder14!C14</f>
        <v>SWIEQI PHOENIX</v>
      </c>
      <c r="I535" s="86" t="str">
        <f>WomenUnder14!D14</f>
        <v>BALZAN FLYERS CROSSCRAFT</v>
      </c>
      <c r="J535" s="86">
        <f>WomenUnder14!E14</f>
        <v>2</v>
      </c>
      <c r="K535" s="86">
        <f>WomenUnder14!F14</f>
        <v>0</v>
      </c>
      <c r="L535" s="132" t="s">
        <v>139</v>
      </c>
      <c r="M535" s="126"/>
      <c r="N535" s="126"/>
      <c r="O535" s="130"/>
      <c r="P535" s="130"/>
      <c r="Q535" s="130"/>
      <c r="R535" s="130"/>
      <c r="S535" s="130"/>
      <c r="T535" s="131"/>
      <c r="U535" s="131"/>
    </row>
    <row r="536" spans="2:21" ht="7.5" customHeight="1" x14ac:dyDescent="0.2">
      <c r="B536" s="80"/>
      <c r="C536" s="81"/>
      <c r="D536" s="82"/>
      <c r="E536" s="83"/>
      <c r="F536" s="84"/>
      <c r="G536" s="84"/>
      <c r="H536" s="84"/>
      <c r="I536" s="84"/>
      <c r="J536" s="84"/>
      <c r="K536" s="84"/>
      <c r="L536" s="126"/>
      <c r="M536" s="126"/>
      <c r="N536" s="126"/>
      <c r="O536" s="130"/>
      <c r="P536" s="130"/>
      <c r="Q536" s="130"/>
      <c r="R536" s="130"/>
      <c r="S536" s="130"/>
      <c r="T536" s="131"/>
      <c r="U536" s="131"/>
    </row>
    <row r="537" spans="2:21" ht="15.75" x14ac:dyDescent="0.25">
      <c r="B537" s="76" t="s">
        <v>124</v>
      </c>
      <c r="C537" s="77">
        <v>42498</v>
      </c>
      <c r="D537" s="85" t="s">
        <v>129</v>
      </c>
      <c r="E537" s="79" t="s">
        <v>366</v>
      </c>
      <c r="F537" s="86" t="str">
        <f>WomenUnder14!A15</f>
        <v>WU14L-12</v>
      </c>
      <c r="G537" s="86" t="str">
        <f>WomenUnder14!B15</f>
        <v>4th Round</v>
      </c>
      <c r="H537" s="86" t="str">
        <f>WomenUnder14!C15</f>
        <v>BALZAN FLYERS CROSSCRAFT</v>
      </c>
      <c r="I537" s="86" t="str">
        <f>WomenUnder14!D15</f>
        <v>PAOLA</v>
      </c>
      <c r="J537" s="86">
        <f>WomenUnder14!E15</f>
        <v>2</v>
      </c>
      <c r="K537" s="86">
        <f>WomenUnder14!F15</f>
        <v>0</v>
      </c>
      <c r="L537" s="132" t="s">
        <v>139</v>
      </c>
      <c r="M537" s="126"/>
      <c r="N537" s="126"/>
      <c r="O537" s="130"/>
      <c r="P537" s="130"/>
      <c r="Q537" s="130"/>
      <c r="R537" s="130"/>
      <c r="S537" s="130"/>
      <c r="T537" s="131"/>
      <c r="U537" s="131"/>
    </row>
    <row r="538" spans="2:21" ht="7.5" customHeight="1" x14ac:dyDescent="0.2">
      <c r="B538" s="80"/>
      <c r="C538" s="81"/>
      <c r="D538" s="82"/>
      <c r="E538" s="83"/>
      <c r="F538" s="84"/>
      <c r="G538" s="84"/>
      <c r="H538" s="84"/>
      <c r="I538" s="84"/>
      <c r="J538" s="84"/>
      <c r="K538" s="84"/>
      <c r="L538" s="126"/>
      <c r="M538" s="126"/>
      <c r="N538" s="126"/>
      <c r="O538" s="130"/>
      <c r="P538" s="130"/>
      <c r="Q538" s="130"/>
      <c r="R538" s="130"/>
      <c r="S538" s="130"/>
      <c r="T538" s="131"/>
      <c r="U538" s="131"/>
    </row>
    <row r="539" spans="2:21" ht="15.75" x14ac:dyDescent="0.25">
      <c r="B539" s="76" t="s">
        <v>124</v>
      </c>
      <c r="C539" s="77">
        <v>42498</v>
      </c>
      <c r="D539" s="85" t="s">
        <v>412</v>
      </c>
      <c r="E539" s="79" t="s">
        <v>366</v>
      </c>
      <c r="F539" s="86" t="str">
        <f>WomenUnder18!A13</f>
        <v>WU18L-10</v>
      </c>
      <c r="G539" s="86" t="str">
        <f>WomenUnder18!B13</f>
        <v>4th Round</v>
      </c>
      <c r="H539" s="86" t="str">
        <f>WomenUnder18!C13</f>
        <v>BALZAN FLYERS CROSSCRAFT</v>
      </c>
      <c r="I539" s="86" t="str">
        <f>WomenUnder18!D13</f>
        <v>SWIEQI PHOENIX</v>
      </c>
      <c r="J539" s="86">
        <f>WomenUnder18!E13</f>
        <v>0</v>
      </c>
      <c r="K539" s="86">
        <f>WomenUnder18!F13</f>
        <v>3</v>
      </c>
      <c r="L539" s="132" t="s">
        <v>139</v>
      </c>
    </row>
    <row r="540" spans="2:21" ht="7.5" customHeight="1" x14ac:dyDescent="0.2">
      <c r="B540" s="80"/>
      <c r="C540" s="81"/>
      <c r="D540" s="82"/>
      <c r="E540" s="83"/>
      <c r="F540" s="84"/>
      <c r="G540" s="84"/>
      <c r="H540" s="84"/>
      <c r="I540" s="84"/>
      <c r="J540" s="84"/>
      <c r="K540" s="84"/>
      <c r="L540" s="126"/>
      <c r="M540" s="126"/>
      <c r="N540" s="126"/>
      <c r="O540" s="130"/>
      <c r="P540" s="130"/>
      <c r="Q540" s="130"/>
      <c r="R540" s="130"/>
      <c r="S540" s="130"/>
      <c r="T540" s="131"/>
      <c r="U540" s="131"/>
    </row>
    <row r="542" spans="2:21" x14ac:dyDescent="0.2">
      <c r="B542" s="76" t="s">
        <v>121</v>
      </c>
      <c r="C542" s="77">
        <v>42504</v>
      </c>
      <c r="D542" s="85" t="s">
        <v>129</v>
      </c>
      <c r="E542" s="79" t="s">
        <v>366</v>
      </c>
      <c r="F542" s="86" t="str">
        <f>'WomenNational-Fr.ParnisCup'!A6</f>
        <v>WC-03</v>
      </c>
      <c r="G542" s="86" t="str">
        <f>'WomenNational-Fr.ParnisCup'!B6</f>
        <v>Semi Final</v>
      </c>
      <c r="H542" s="86" t="str">
        <f>'WomenNational-Fr.ParnisCup'!C6</f>
        <v>PAOLA</v>
      </c>
      <c r="I542" s="86" t="str">
        <f>'WomenNational-Fr.ParnisCup'!D6</f>
        <v>BALZAN FLYERS CROSSCRAFT</v>
      </c>
      <c r="J542" s="86">
        <f>'WomenNational-Fr.ParnisCup'!E6</f>
        <v>0</v>
      </c>
      <c r="K542" s="86">
        <f>'WomenNational-Fr.ParnisCup'!F6</f>
        <v>3</v>
      </c>
    </row>
    <row r="543" spans="2:21" ht="7.5" customHeight="1" x14ac:dyDescent="0.2"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126"/>
      <c r="M543" s="126"/>
      <c r="N543" s="126"/>
      <c r="O543" s="130"/>
      <c r="P543" s="130"/>
      <c r="Q543" s="130"/>
      <c r="R543" s="130"/>
      <c r="S543" s="130"/>
      <c r="T543" s="131"/>
      <c r="U543" s="131"/>
    </row>
    <row r="544" spans="2:21" ht="15.75" x14ac:dyDescent="0.25">
      <c r="B544" s="76" t="s">
        <v>121</v>
      </c>
      <c r="C544" s="77">
        <v>42504</v>
      </c>
      <c r="D544" s="78" t="s">
        <v>130</v>
      </c>
      <c r="E544" s="79" t="s">
        <v>366</v>
      </c>
      <c r="F544" s="86" t="str">
        <f>'MenNational-Fr.ParnisCup'!A4</f>
        <v>MC-01</v>
      </c>
      <c r="G544" s="86" t="str">
        <f>'MenNational-Fr.ParnisCup'!B4</f>
        <v>Semi Final</v>
      </c>
      <c r="H544" s="86" t="str">
        <f>'MenNational-Fr.ParnisCup'!C4</f>
        <v>VALLETTA MAPEI</v>
      </c>
      <c r="I544" s="86" t="str">
        <f>'MenNational-Fr.ParnisCup'!D4</f>
        <v>FLEUR DE LYS TWISTEES</v>
      </c>
      <c r="J544" s="86">
        <f>'MenNational-Fr.ParnisCup'!E4</f>
        <v>2</v>
      </c>
      <c r="K544" s="86">
        <f>'MenNational-Fr.ParnisCup'!F4</f>
        <v>3</v>
      </c>
      <c r="L544" s="197"/>
    </row>
    <row r="545" spans="2:21" ht="7.5" customHeight="1" x14ac:dyDescent="0.2"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126"/>
      <c r="M545" s="126"/>
      <c r="N545" s="126"/>
      <c r="O545" s="130"/>
      <c r="P545" s="130"/>
      <c r="Q545" s="130"/>
      <c r="R545" s="130"/>
      <c r="S545" s="130"/>
      <c r="T545" s="131"/>
      <c r="U545" s="131"/>
    </row>
    <row r="546" spans="2:21" ht="15.75" x14ac:dyDescent="0.25">
      <c r="B546" s="76" t="s">
        <v>121</v>
      </c>
      <c r="C546" s="77">
        <v>42504</v>
      </c>
      <c r="D546" s="78" t="s">
        <v>133</v>
      </c>
      <c r="E546" s="79" t="s">
        <v>120</v>
      </c>
      <c r="F546" s="86" t="str">
        <f>'WomenNational-Fr.ParnisCup'!A5</f>
        <v>WC-02</v>
      </c>
      <c r="G546" s="86" t="str">
        <f>'WomenNational-Fr.ParnisCup'!B5</f>
        <v>Semi Final</v>
      </c>
      <c r="H546" s="86" t="str">
        <f>'WomenNational-Fr.ParnisCup'!C5</f>
        <v>SLIEMA WANDERERS</v>
      </c>
      <c r="I546" s="86" t="str">
        <f>'WomenNational-Fr.ParnisCup'!D5</f>
        <v>FLEUR DE LYS TWISTEES</v>
      </c>
      <c r="J546" s="86">
        <f>'WomenNational-Fr.ParnisCup'!E5</f>
        <v>0</v>
      </c>
      <c r="K546" s="86">
        <f>'WomenNational-Fr.ParnisCup'!F5</f>
        <v>3</v>
      </c>
      <c r="L546" s="132"/>
      <c r="M546" s="126"/>
      <c r="N546" s="126"/>
      <c r="O546" s="130"/>
      <c r="P546" s="130"/>
      <c r="Q546" s="130"/>
      <c r="R546" s="130"/>
      <c r="S546" s="130"/>
      <c r="T546" s="131"/>
      <c r="U546" s="131"/>
    </row>
    <row r="547" spans="2:21" ht="7.5" customHeight="1" x14ac:dyDescent="0.2">
      <c r="B547" s="80"/>
      <c r="C547" s="81"/>
      <c r="D547" s="82"/>
      <c r="E547" s="83"/>
      <c r="F547" s="84"/>
      <c r="G547" s="84"/>
      <c r="H547" s="84"/>
      <c r="I547" s="84"/>
      <c r="J547" s="84"/>
      <c r="K547" s="84"/>
      <c r="L547" s="126"/>
      <c r="M547" s="126"/>
      <c r="N547" s="126"/>
      <c r="O547" s="130"/>
      <c r="P547" s="130"/>
      <c r="Q547" s="130"/>
      <c r="R547" s="130"/>
      <c r="S547" s="130"/>
      <c r="T547" s="131"/>
      <c r="U547" s="131"/>
    </row>
    <row r="549" spans="2:21" x14ac:dyDescent="0.2">
      <c r="B549" s="76" t="s">
        <v>121</v>
      </c>
      <c r="C549" s="77">
        <v>42504</v>
      </c>
      <c r="D549" s="85" t="s">
        <v>133</v>
      </c>
      <c r="E549" s="79" t="s">
        <v>388</v>
      </c>
      <c r="F549" s="86" t="str">
        <f>Women1stDivLeague!A15</f>
        <v>W1L-12</v>
      </c>
      <c r="G549" s="86" t="str">
        <f>Women1stDivLeague!B15</f>
        <v>2nd Round</v>
      </c>
      <c r="H549" s="86" t="str">
        <f>Women1stDivLeague!C15</f>
        <v>SWIEQI PHOENIX</v>
      </c>
      <c r="I549" s="86" t="str">
        <f>Women1stDivLeague!D15</f>
        <v>BIRKIRKARA</v>
      </c>
      <c r="J549" s="86">
        <f>Women1stDivLeague!E15</f>
        <v>3</v>
      </c>
      <c r="K549" s="86">
        <f>Women1stDivLeague!F15</f>
        <v>1</v>
      </c>
      <c r="N549" s="125"/>
    </row>
    <row r="550" spans="2:21" ht="8.25" customHeight="1" x14ac:dyDescent="0.2">
      <c r="B550" s="80"/>
      <c r="C550" s="81"/>
      <c r="D550" s="82"/>
      <c r="E550" s="83"/>
      <c r="F550" s="84"/>
      <c r="G550" s="84"/>
      <c r="H550" s="84"/>
      <c r="I550" s="84"/>
      <c r="J550" s="84"/>
      <c r="K550" s="84"/>
      <c r="L550" s="126"/>
      <c r="M550" s="126"/>
      <c r="N550" s="126"/>
      <c r="O550" s="130"/>
      <c r="P550" s="130"/>
      <c r="Q550" s="130"/>
      <c r="R550" s="130"/>
      <c r="S550" s="130"/>
      <c r="T550" s="131"/>
      <c r="U550" s="131"/>
    </row>
    <row r="552" spans="2:21" ht="15.75" x14ac:dyDescent="0.25">
      <c r="B552" s="76" t="s">
        <v>124</v>
      </c>
      <c r="C552" s="77">
        <v>42505</v>
      </c>
      <c r="D552" s="85" t="s">
        <v>135</v>
      </c>
      <c r="E552" s="79" t="s">
        <v>366</v>
      </c>
      <c r="F552" s="86" t="str">
        <f>'WomenNational-Fr.ParnisCup'!A7</f>
        <v>WC-04</v>
      </c>
      <c r="G552" s="86" t="str">
        <f>'WomenNational-Fr.ParnisCup'!B7</f>
        <v xml:space="preserve"> Final 1</v>
      </c>
      <c r="H552" s="86" t="str">
        <f>'WomenNational-Fr.ParnisCup'!C7</f>
        <v>BALZAN FLYERS CROSSCRAFT</v>
      </c>
      <c r="I552" s="86" t="str">
        <f>'WomenNational-Fr.ParnisCup'!D7</f>
        <v>FLEUR DE LYS TWISTEES</v>
      </c>
      <c r="J552" s="86">
        <f>'WomenNational-Fr.ParnisCup'!E7</f>
        <v>3</v>
      </c>
      <c r="K552" s="86">
        <f>'WomenNational-Fr.ParnisCup'!F7</f>
        <v>1</v>
      </c>
      <c r="L552" s="197"/>
    </row>
    <row r="553" spans="2:21" ht="7.5" customHeight="1" x14ac:dyDescent="0.2"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126"/>
      <c r="M553" s="126"/>
      <c r="N553" s="126"/>
      <c r="O553" s="130"/>
      <c r="P553" s="130"/>
      <c r="Q553" s="130"/>
      <c r="R553" s="130"/>
      <c r="S553" s="130"/>
      <c r="T553" s="131"/>
      <c r="U553" s="131"/>
    </row>
    <row r="554" spans="2:21" x14ac:dyDescent="0.2">
      <c r="B554" s="76" t="s">
        <v>124</v>
      </c>
      <c r="C554" s="77">
        <v>42505</v>
      </c>
      <c r="D554" s="85" t="s">
        <v>133</v>
      </c>
      <c r="E554" s="79" t="s">
        <v>366</v>
      </c>
      <c r="F554" s="86" t="str">
        <f>Women1stDivLeague!A17</f>
        <v>W1L-14</v>
      </c>
      <c r="G554" s="86" t="str">
        <f>Women1stDivLeague!B17</f>
        <v>2nd Round</v>
      </c>
      <c r="H554" s="86" t="str">
        <f>Women1stDivLeague!C17</f>
        <v>SLIEMA WANDERERS</v>
      </c>
      <c r="I554" s="86" t="str">
        <f>Women1stDivLeague!D17</f>
        <v>BIRKIRKARA</v>
      </c>
      <c r="J554" s="86">
        <f>Women1stDivLeague!E17</f>
        <v>3</v>
      </c>
      <c r="K554" s="86">
        <f>Women1stDivLeague!F17</f>
        <v>0</v>
      </c>
      <c r="L554" s="126"/>
      <c r="M554" s="126"/>
      <c r="N554" s="126"/>
      <c r="O554" s="130"/>
      <c r="P554" s="130"/>
      <c r="Q554" s="130"/>
      <c r="R554" s="130"/>
      <c r="S554" s="130"/>
      <c r="T554" s="131"/>
      <c r="U554" s="131"/>
    </row>
    <row r="555" spans="2:21" ht="7.5" customHeight="1" x14ac:dyDescent="0.2">
      <c r="B555" s="80"/>
      <c r="C555" s="81"/>
      <c r="D555" s="82"/>
      <c r="E555" s="83"/>
      <c r="F555" s="84"/>
      <c r="G555" s="84"/>
      <c r="H555" s="84"/>
      <c r="I555" s="84"/>
      <c r="J555" s="84"/>
      <c r="K555" s="84"/>
      <c r="L555" s="126"/>
      <c r="M555" s="126"/>
      <c r="N555" s="126"/>
      <c r="O555" s="130"/>
      <c r="P555" s="130"/>
      <c r="Q555" s="130"/>
      <c r="R555" s="130"/>
      <c r="S555" s="130"/>
      <c r="T555" s="131"/>
      <c r="U555" s="131"/>
    </row>
    <row r="557" spans="2:21" x14ac:dyDescent="0.2">
      <c r="B557" s="76" t="s">
        <v>118</v>
      </c>
      <c r="C557" s="77">
        <v>42509</v>
      </c>
      <c r="D557" s="85" t="s">
        <v>419</v>
      </c>
      <c r="E557" s="79" t="s">
        <v>420</v>
      </c>
      <c r="F557" s="86" t="str">
        <f>'MenNational-Fr.ParnisCup'!A5</f>
        <v>MC-02</v>
      </c>
      <c r="G557" s="86" t="str">
        <f>'MenNational-Fr.ParnisCup'!B5</f>
        <v>Final 1</v>
      </c>
      <c r="H557" s="86" t="str">
        <f>'MenNational-Fr.ParnisCup'!C5</f>
        <v>FLEUR DE LYS TWISTEES</v>
      </c>
      <c r="I557" s="86" t="str">
        <f>'MenNational-Fr.ParnisCup'!D5</f>
        <v>ALOYSIANS</v>
      </c>
      <c r="J557" s="86">
        <f>'MenNational-Fr.ParnisCup'!E5</f>
        <v>3</v>
      </c>
      <c r="K557" s="86">
        <f>'MenNational-Fr.ParnisCup'!F5</f>
        <v>0</v>
      </c>
      <c r="N557" s="125"/>
    </row>
    <row r="558" spans="2:21" ht="8.25" customHeight="1" x14ac:dyDescent="0.2">
      <c r="B558" s="80"/>
      <c r="C558" s="81"/>
      <c r="D558" s="82"/>
      <c r="E558" s="83"/>
      <c r="F558" s="84"/>
      <c r="G558" s="84"/>
      <c r="H558" s="84"/>
      <c r="I558" s="84"/>
      <c r="J558" s="84"/>
      <c r="K558" s="84"/>
      <c r="L558" s="126"/>
      <c r="M558" s="126"/>
      <c r="N558" s="126"/>
      <c r="O558" s="130"/>
      <c r="P558" s="130"/>
      <c r="Q558" s="130"/>
      <c r="R558" s="130"/>
      <c r="S558" s="130"/>
      <c r="T558" s="131"/>
      <c r="U558" s="131"/>
    </row>
    <row r="560" spans="2:21" x14ac:dyDescent="0.2">
      <c r="B560" s="76" t="s">
        <v>121</v>
      </c>
      <c r="C560" s="77">
        <v>42511</v>
      </c>
      <c r="D560" s="78" t="s">
        <v>129</v>
      </c>
      <c r="E560" s="79" t="s">
        <v>366</v>
      </c>
      <c r="F560" s="86" t="str">
        <f>'WomenNational-Fr.ParnisCup'!A8</f>
        <v>WC-05</v>
      </c>
      <c r="G560" s="86" t="str">
        <f>'WomenNational-Fr.ParnisCup'!B8</f>
        <v>Final 2</v>
      </c>
      <c r="H560" s="86" t="str">
        <f>'WomenNational-Fr.ParnisCup'!C8</f>
        <v>FLEUR DE LYS TWISTEES</v>
      </c>
      <c r="I560" s="86" t="str">
        <f>'WomenNational-Fr.ParnisCup'!D8</f>
        <v>BALZAN FLYERS CROSSCRAFT</v>
      </c>
      <c r="J560" s="86">
        <f>'WomenNational-Fr.ParnisCup'!E8</f>
        <v>1</v>
      </c>
      <c r="K560" s="86">
        <f>'WomenNational-Fr.ParnisCup'!F8</f>
        <v>3</v>
      </c>
      <c r="N560" s="125"/>
    </row>
    <row r="561" spans="2:21" ht="7.5" customHeight="1" x14ac:dyDescent="0.2">
      <c r="B561" s="80"/>
      <c r="C561" s="81"/>
      <c r="D561" s="82"/>
      <c r="E561" s="83"/>
      <c r="F561" s="84"/>
      <c r="G561" s="84"/>
      <c r="H561" s="84"/>
      <c r="I561" s="84"/>
      <c r="J561" s="84"/>
      <c r="K561" s="84"/>
      <c r="L561" s="126"/>
      <c r="M561" s="126"/>
      <c r="N561" s="126"/>
      <c r="O561" s="130"/>
      <c r="P561" s="130"/>
      <c r="Q561" s="130"/>
      <c r="R561" s="130"/>
      <c r="S561" s="130"/>
      <c r="T561" s="131"/>
      <c r="U561" s="131"/>
    </row>
    <row r="562" spans="2:21" x14ac:dyDescent="0.2">
      <c r="B562" s="76" t="s">
        <v>121</v>
      </c>
      <c r="C562" s="77">
        <v>42511</v>
      </c>
      <c r="D562" s="85" t="s">
        <v>130</v>
      </c>
      <c r="E562" s="79" t="s">
        <v>366</v>
      </c>
      <c r="F562" s="86" t="str">
        <f>'MenNational-Fr.ParnisCup'!A6</f>
        <v>MC-03</v>
      </c>
      <c r="G562" s="86" t="str">
        <f>'MenNational-Fr.ParnisCup'!B6</f>
        <v>Final 2</v>
      </c>
      <c r="H562" s="86" t="str">
        <f>'MenNational-Fr.ParnisCup'!C6</f>
        <v>ALOYSIANS</v>
      </c>
      <c r="I562" s="86" t="str">
        <f>'MenNational-Fr.ParnisCup'!D6</f>
        <v>FLEUR DE LYS TWISTEES</v>
      </c>
      <c r="J562" s="86">
        <f>'MenNational-Fr.ParnisCup'!E6</f>
        <v>0</v>
      </c>
      <c r="K562" s="86">
        <f>'MenNational-Fr.ParnisCup'!F6</f>
        <v>3</v>
      </c>
      <c r="N562" s="125"/>
    </row>
    <row r="563" spans="2:21" ht="8.25" customHeight="1" x14ac:dyDescent="0.2">
      <c r="B563" s="80"/>
      <c r="C563" s="81"/>
      <c r="D563" s="82"/>
      <c r="E563" s="83"/>
      <c r="F563" s="84"/>
      <c r="G563" s="84"/>
      <c r="H563" s="84"/>
      <c r="I563" s="84"/>
      <c r="J563" s="84"/>
      <c r="K563" s="84"/>
      <c r="L563" s="126"/>
      <c r="M563" s="126"/>
      <c r="N563" s="126"/>
      <c r="O563" s="130"/>
      <c r="P563" s="130"/>
      <c r="Q563" s="130"/>
      <c r="R563" s="130"/>
      <c r="S563" s="130"/>
      <c r="T563" s="131"/>
      <c r="U563" s="131"/>
    </row>
    <row r="565" spans="2:21" x14ac:dyDescent="0.2">
      <c r="B565" s="76" t="s">
        <v>124</v>
      </c>
      <c r="C565" s="77">
        <v>42512</v>
      </c>
      <c r="D565" s="78" t="s">
        <v>129</v>
      </c>
      <c r="E565" s="79" t="s">
        <v>366</v>
      </c>
      <c r="F565" s="86" t="str">
        <f>'WomenNational-Fr.ParnisCup'!A9</f>
        <v>WC-06</v>
      </c>
      <c r="G565" s="86" t="str">
        <f>'WomenNational-Fr.ParnisCup'!B9</f>
        <v>Final 3</v>
      </c>
      <c r="H565" s="86" t="str">
        <f>'WomenNational-Fr.ParnisCup'!C9</f>
        <v>BALZAN FLYERS CROSSCRAFT</v>
      </c>
      <c r="I565" s="86" t="str">
        <f>'WomenNational-Fr.ParnisCup'!D9</f>
        <v>FLEUR DE LYS TWISTEES</v>
      </c>
      <c r="J565" s="86" t="str">
        <f>'WomenNational-Fr.ParnisCup'!E9</f>
        <v>N</v>
      </c>
      <c r="K565" s="86" t="str">
        <f>'WomenNational-Fr.ParnisCup'!F9</f>
        <v>A</v>
      </c>
      <c r="L565" s="124" t="s">
        <v>158</v>
      </c>
      <c r="N565" s="125"/>
    </row>
    <row r="566" spans="2:21" ht="7.5" customHeight="1" x14ac:dyDescent="0.2">
      <c r="B566" s="80"/>
      <c r="C566" s="81"/>
      <c r="D566" s="82"/>
      <c r="E566" s="83"/>
      <c r="F566" s="84"/>
      <c r="G566" s="84"/>
      <c r="H566" s="84"/>
      <c r="I566" s="84"/>
      <c r="J566" s="84"/>
      <c r="K566" s="84"/>
      <c r="L566" s="126"/>
      <c r="M566" s="126"/>
      <c r="N566" s="126"/>
      <c r="O566" s="130"/>
      <c r="P566" s="130"/>
      <c r="Q566" s="130"/>
      <c r="R566" s="130"/>
      <c r="S566" s="130"/>
      <c r="T566" s="131"/>
      <c r="U566" s="131"/>
    </row>
    <row r="567" spans="2:21" x14ac:dyDescent="0.2">
      <c r="B567" s="76" t="s">
        <v>124</v>
      </c>
      <c r="C567" s="77">
        <v>42512</v>
      </c>
      <c r="D567" s="85" t="s">
        <v>130</v>
      </c>
      <c r="E567" s="79" t="s">
        <v>366</v>
      </c>
      <c r="F567" s="86" t="str">
        <f>'MenNational-Fr.ParnisCup'!A7</f>
        <v>MC-04</v>
      </c>
      <c r="G567" s="86" t="str">
        <f>'MenNational-Fr.ParnisCup'!B7</f>
        <v>Final 3</v>
      </c>
      <c r="H567" s="86" t="str">
        <f>'MenNational-Fr.ParnisCup'!C7</f>
        <v>FLEUR DE LYS TWISTEES</v>
      </c>
      <c r="I567" s="86" t="str">
        <f>'MenNational-Fr.ParnisCup'!D7</f>
        <v>ALOYSIANS</v>
      </c>
      <c r="J567" s="86" t="str">
        <f>'MenNational-Fr.ParnisCup'!E7</f>
        <v>N</v>
      </c>
      <c r="K567" s="86" t="str">
        <f>'MenNational-Fr.ParnisCup'!F7</f>
        <v>A</v>
      </c>
      <c r="L567" s="124" t="s">
        <v>158</v>
      </c>
      <c r="N567" s="125"/>
    </row>
    <row r="568" spans="2:21" ht="7.5" customHeight="1" x14ac:dyDescent="0.2">
      <c r="B568" s="80"/>
      <c r="C568" s="81"/>
      <c r="D568" s="82"/>
      <c r="E568" s="83"/>
      <c r="F568" s="84"/>
      <c r="G568" s="84"/>
      <c r="H568" s="84"/>
      <c r="I568" s="84"/>
      <c r="J568" s="84"/>
      <c r="K568" s="84"/>
      <c r="L568" s="126"/>
      <c r="M568" s="126"/>
      <c r="N568" s="126"/>
      <c r="O568" s="130"/>
      <c r="P568" s="130"/>
      <c r="Q568" s="130"/>
      <c r="R568" s="130"/>
      <c r="S568" s="130"/>
      <c r="T568" s="131"/>
      <c r="U568" s="131"/>
    </row>
    <row r="569" spans="2:21" x14ac:dyDescent="0.2">
      <c r="B569" s="76" t="s">
        <v>121</v>
      </c>
      <c r="C569" s="77">
        <v>42512</v>
      </c>
      <c r="D569" s="85" t="s">
        <v>133</v>
      </c>
      <c r="E569" s="79" t="s">
        <v>366</v>
      </c>
      <c r="F569" s="86" t="str">
        <f>Women1stDivLeague!A5</f>
        <v>W1L-02</v>
      </c>
      <c r="G569" s="86" t="str">
        <f>Women1stDivLeague!B5</f>
        <v>1st Round</v>
      </c>
      <c r="H569" s="86" t="str">
        <f>Women1stDivLeague!C5</f>
        <v>BIRKIRKARA</v>
      </c>
      <c r="I569" s="86" t="str">
        <f>Women1stDivLeague!D5</f>
        <v>SWIEQI PHOENIX</v>
      </c>
      <c r="J569" s="86">
        <f>Women1stDivLeague!E5</f>
        <v>2</v>
      </c>
      <c r="K569" s="86">
        <f>Women1stDivLeague!F5</f>
        <v>3</v>
      </c>
    </row>
    <row r="570" spans="2:21" ht="7.5" customHeight="1" x14ac:dyDescent="0.2">
      <c r="B570" s="80"/>
      <c r="C570" s="81"/>
      <c r="D570" s="82"/>
      <c r="E570" s="83"/>
      <c r="F570" s="84"/>
      <c r="G570" s="84"/>
      <c r="H570" s="84"/>
      <c r="I570" s="84"/>
      <c r="J570" s="84"/>
      <c r="K570" s="84"/>
      <c r="L570" s="126"/>
      <c r="M570" s="126"/>
      <c r="N570" s="126"/>
      <c r="O570" s="130"/>
      <c r="P570" s="130"/>
      <c r="Q570" s="130"/>
      <c r="R570" s="130"/>
      <c r="S570" s="130"/>
      <c r="T570" s="131"/>
      <c r="U570" s="131"/>
    </row>
    <row r="572" spans="2:21" ht="15.75" x14ac:dyDescent="0.25">
      <c r="B572" s="76" t="s">
        <v>121</v>
      </c>
      <c r="C572" s="77">
        <v>42518</v>
      </c>
      <c r="D572" s="78" t="s">
        <v>129</v>
      </c>
      <c r="E572" s="79" t="s">
        <v>366</v>
      </c>
      <c r="F572" s="86" t="str">
        <f>Women1stDivLeague!A22</f>
        <v>W1L-19</v>
      </c>
      <c r="G572" s="86" t="str">
        <f>Women1stDivLeague!B22</f>
        <v>2nd Round</v>
      </c>
      <c r="H572" s="86" t="str">
        <f>Women1stDivLeague!C22</f>
        <v>MGARR</v>
      </c>
      <c r="I572" s="86" t="str">
        <f>Women1stDivLeague!D22</f>
        <v>SWIEQI PHOENIX</v>
      </c>
      <c r="J572" s="86">
        <f>Women1stDivLeague!E22</f>
        <v>1</v>
      </c>
      <c r="K572" s="86">
        <f>Women1stDivLeague!F22</f>
        <v>3</v>
      </c>
      <c r="L572" s="197" t="s">
        <v>151</v>
      </c>
      <c r="M572" s="126"/>
      <c r="N572" s="126"/>
      <c r="O572" s="130"/>
      <c r="P572" s="130"/>
      <c r="Q572" s="130"/>
      <c r="R572" s="130"/>
      <c r="S572" s="130"/>
      <c r="T572" s="131"/>
      <c r="U572" s="131"/>
    </row>
    <row r="573" spans="2:21" ht="7.5" customHeight="1" x14ac:dyDescent="0.2">
      <c r="B573" s="80"/>
      <c r="C573" s="81"/>
      <c r="D573" s="82"/>
      <c r="E573" s="83"/>
      <c r="F573" s="84"/>
      <c r="G573" s="84"/>
      <c r="H573" s="84"/>
      <c r="I573" s="84"/>
      <c r="J573" s="84"/>
      <c r="K573" s="84"/>
      <c r="L573" s="126"/>
      <c r="M573" s="126"/>
      <c r="N573" s="126"/>
      <c r="O573" s="130"/>
      <c r="P573" s="130"/>
      <c r="Q573" s="130"/>
      <c r="R573" s="130"/>
      <c r="S573" s="130"/>
      <c r="T573" s="131"/>
      <c r="U573" s="131"/>
    </row>
    <row r="575" spans="2:21" x14ac:dyDescent="0.2">
      <c r="B575" s="76" t="s">
        <v>124</v>
      </c>
      <c r="C575" s="77">
        <v>42519</v>
      </c>
      <c r="D575" s="85" t="s">
        <v>129</v>
      </c>
      <c r="E575" s="79" t="s">
        <v>366</v>
      </c>
      <c r="F575" s="86" t="str">
        <f>WomenUnder14!A14</f>
        <v>WU14L-11</v>
      </c>
      <c r="G575" s="86" t="str">
        <f>WomenUnder14!B14</f>
        <v>4th Round</v>
      </c>
      <c r="H575" s="86" t="str">
        <f>WomenUnder14!C14</f>
        <v>SWIEQI PHOENIX</v>
      </c>
      <c r="I575" s="86" t="str">
        <f>WomenUnder14!D14</f>
        <v>BALZAN FLYERS CROSSCRAFT</v>
      </c>
      <c r="J575" s="86">
        <f>WomenUnder14!E54</f>
        <v>0</v>
      </c>
      <c r="K575" s="86">
        <f>WomenUnder14!F54</f>
        <v>0</v>
      </c>
      <c r="L575" s="126"/>
      <c r="M575" s="126"/>
      <c r="N575" s="126"/>
      <c r="O575" s="130"/>
      <c r="P575" s="130"/>
      <c r="Q575" s="130"/>
      <c r="R575" s="130"/>
      <c r="S575" s="130"/>
      <c r="T575" s="131"/>
      <c r="U575" s="131"/>
    </row>
    <row r="576" spans="2:21" ht="7.5" customHeight="1" x14ac:dyDescent="0.2">
      <c r="B576" s="80"/>
      <c r="C576" s="81"/>
      <c r="D576" s="82"/>
      <c r="E576" s="83"/>
      <c r="F576" s="84"/>
      <c r="G576" s="84"/>
      <c r="H576" s="84"/>
      <c r="I576" s="84"/>
      <c r="J576" s="84"/>
      <c r="K576" s="84"/>
      <c r="L576" s="126"/>
      <c r="M576" s="126"/>
      <c r="N576" s="126"/>
      <c r="O576" s="130"/>
      <c r="P576" s="130"/>
      <c r="Q576" s="130"/>
      <c r="R576" s="130"/>
      <c r="S576" s="130"/>
      <c r="T576" s="131"/>
      <c r="U576" s="131"/>
    </row>
    <row r="577" spans="2:21" x14ac:dyDescent="0.2">
      <c r="B577" s="76" t="s">
        <v>124</v>
      </c>
      <c r="C577" s="77">
        <v>42519</v>
      </c>
      <c r="D577" s="85" t="s">
        <v>412</v>
      </c>
      <c r="E577" s="79" t="s">
        <v>366</v>
      </c>
      <c r="F577" s="86" t="str">
        <f>WomenUnder14!A15</f>
        <v>WU14L-12</v>
      </c>
      <c r="G577" s="86" t="str">
        <f>WomenUnder14!B15</f>
        <v>4th Round</v>
      </c>
      <c r="H577" s="86" t="str">
        <f>WomenUnder14!C15</f>
        <v>BALZAN FLYERS CROSSCRAFT</v>
      </c>
      <c r="I577" s="86" t="str">
        <f>WomenUnder14!D15</f>
        <v>PAOLA</v>
      </c>
      <c r="J577" s="86">
        <f>WomenUnder14!E15</f>
        <v>2</v>
      </c>
      <c r="K577" s="86">
        <f>WomenUnder14!F15</f>
        <v>0</v>
      </c>
      <c r="L577" s="126"/>
      <c r="M577" s="126"/>
      <c r="N577" s="126"/>
      <c r="O577" s="130"/>
      <c r="P577" s="130"/>
      <c r="Q577" s="130"/>
      <c r="R577" s="130"/>
      <c r="S577" s="130"/>
      <c r="T577" s="131"/>
      <c r="U577" s="131"/>
    </row>
    <row r="578" spans="2:21" ht="7.5" customHeight="1" x14ac:dyDescent="0.2">
      <c r="B578" s="80"/>
      <c r="C578" s="81"/>
      <c r="D578" s="82"/>
      <c r="E578" s="83"/>
      <c r="F578" s="84"/>
      <c r="G578" s="84"/>
      <c r="H578" s="84"/>
      <c r="I578" s="84"/>
      <c r="J578" s="84"/>
      <c r="K578" s="84"/>
      <c r="L578" s="126"/>
      <c r="M578" s="126"/>
      <c r="N578" s="126"/>
      <c r="O578" s="130"/>
      <c r="P578" s="130"/>
      <c r="Q578" s="130"/>
      <c r="R578" s="130"/>
      <c r="S578" s="130"/>
      <c r="T578" s="131"/>
      <c r="U578" s="131"/>
    </row>
    <row r="579" spans="2:21" x14ac:dyDescent="0.2">
      <c r="B579" s="76" t="s">
        <v>124</v>
      </c>
      <c r="C579" s="77">
        <v>42519</v>
      </c>
      <c r="D579" s="85" t="s">
        <v>130</v>
      </c>
      <c r="E579" s="79" t="s">
        <v>366</v>
      </c>
      <c r="F579" s="86" t="str">
        <f>WomenUnder18!A13</f>
        <v>WU18L-10</v>
      </c>
      <c r="G579" s="86" t="str">
        <f>WomenUnder18!B13</f>
        <v>4th Round</v>
      </c>
      <c r="H579" s="86" t="str">
        <f>WomenUnder18!C13</f>
        <v>BALZAN FLYERS CROSSCRAFT</v>
      </c>
      <c r="I579" s="86" t="str">
        <f>WomenUnder18!D13</f>
        <v>SWIEQI PHOENIX</v>
      </c>
      <c r="J579" s="86">
        <f>WomenUnder18!E13</f>
        <v>0</v>
      </c>
      <c r="K579" s="86">
        <f>WomenUnder18!F13</f>
        <v>3</v>
      </c>
      <c r="L579" s="126"/>
    </row>
    <row r="580" spans="2:21" ht="7.5" customHeight="1" x14ac:dyDescent="0.2">
      <c r="B580" s="80"/>
      <c r="C580" s="81"/>
      <c r="D580" s="82"/>
      <c r="E580" s="83"/>
      <c r="F580" s="84"/>
      <c r="G580" s="84"/>
      <c r="H580" s="84"/>
      <c r="I580" s="84"/>
      <c r="J580" s="84"/>
      <c r="K580" s="84"/>
      <c r="L580" s="126"/>
      <c r="M580" s="126"/>
      <c r="N580" s="126"/>
      <c r="O580" s="130"/>
      <c r="P580" s="130"/>
      <c r="Q580" s="130"/>
      <c r="R580" s="130"/>
      <c r="S580" s="130"/>
      <c r="T580" s="131"/>
      <c r="U580" s="131"/>
    </row>
    <row r="581" spans="2:21" x14ac:dyDescent="0.2">
      <c r="B581" s="76" t="s">
        <v>124</v>
      </c>
      <c r="C581" s="77">
        <v>42519</v>
      </c>
      <c r="D581" s="85" t="s">
        <v>133</v>
      </c>
      <c r="E581" s="79" t="s">
        <v>366</v>
      </c>
      <c r="F581" s="86" t="str">
        <f>WomenSuperLeague!A15</f>
        <v>WSL-12</v>
      </c>
      <c r="G581" s="86" t="str">
        <f>WomenSuperLeague!B15</f>
        <v>2nd Round</v>
      </c>
      <c r="H581" s="86" t="str">
        <f>WomenSuperLeague!C15</f>
        <v>FLEUR DE LYS TWISTEES</v>
      </c>
      <c r="I581" s="86" t="str">
        <f>WomenSuperLeague!D15</f>
        <v>BALZAN FLYERS CROSSCRAFT 2</v>
      </c>
      <c r="J581" s="86">
        <f>WomenSuperLeague!E15</f>
        <v>3</v>
      </c>
      <c r="K581" s="86">
        <f>WomenSuperLeague!F15</f>
        <v>0</v>
      </c>
      <c r="L581" s="126"/>
    </row>
    <row r="582" spans="2:21" ht="7.5" customHeight="1" x14ac:dyDescent="0.2">
      <c r="B582" s="80"/>
      <c r="C582" s="81"/>
      <c r="D582" s="82"/>
      <c r="E582" s="83"/>
      <c r="F582" s="84"/>
      <c r="G582" s="84"/>
      <c r="H582" s="84"/>
      <c r="I582" s="84"/>
      <c r="J582" s="84"/>
      <c r="K582" s="84"/>
      <c r="L582" s="126"/>
      <c r="M582" s="126"/>
      <c r="N582" s="126"/>
      <c r="O582" s="130"/>
      <c r="P582" s="130"/>
      <c r="Q582" s="130"/>
      <c r="R582" s="130"/>
      <c r="S582" s="130"/>
      <c r="T582" s="131"/>
      <c r="U582" s="131"/>
    </row>
  </sheetData>
  <sheetProtection selectLockedCells="1" selectUnlockedCells="1"/>
  <mergeCells count="26">
    <mergeCell ref="F427:K427"/>
    <mergeCell ref="F430:K430"/>
    <mergeCell ref="B1:K1"/>
    <mergeCell ref="A97:K97"/>
    <mergeCell ref="B6:K6"/>
    <mergeCell ref="A44:K44"/>
    <mergeCell ref="J7:K7"/>
    <mergeCell ref="B7:C7"/>
    <mergeCell ref="A9:K9"/>
    <mergeCell ref="F15:K15"/>
    <mergeCell ref="F18:K18"/>
    <mergeCell ref="F25:K25"/>
    <mergeCell ref="F30:K30"/>
    <mergeCell ref="A371:K371"/>
    <mergeCell ref="F236:K236"/>
    <mergeCell ref="F239:K239"/>
    <mergeCell ref="B2:K2"/>
    <mergeCell ref="B3:K3"/>
    <mergeCell ref="B4:K4"/>
    <mergeCell ref="B5:K5"/>
    <mergeCell ref="A315:K315"/>
    <mergeCell ref="A170:K170"/>
    <mergeCell ref="F225:K225"/>
    <mergeCell ref="F228:K228"/>
    <mergeCell ref="F231:K231"/>
    <mergeCell ref="A234:K234"/>
  </mergeCells>
  <hyperlinks>
    <hyperlink ref="B2" r:id="rId1"/>
  </hyperlinks>
  <pageMargins left="0" right="0" top="0.31496062992125984" bottom="0.23622047244094491" header="0.51181102362204722" footer="0.51181102362204722"/>
  <pageSetup paperSize="9" firstPageNumber="0" orientation="landscape" horizontalDpi="4294967293" verticalDpi="4294967293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showGridLines="0" topLeftCell="A2" zoomScaleNormal="100" workbookViewId="0">
      <selection activeCell="A22" sqref="A22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8554687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9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9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161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9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9" ht="12" x14ac:dyDescent="0.2">
      <c r="A4" s="163" t="s">
        <v>169</v>
      </c>
      <c r="B4" s="163" t="s">
        <v>170</v>
      </c>
      <c r="C4" s="162" t="s">
        <v>171</v>
      </c>
      <c r="D4" s="90" t="s">
        <v>172</v>
      </c>
      <c r="E4" s="154">
        <v>3</v>
      </c>
      <c r="F4" s="154">
        <v>0</v>
      </c>
      <c r="G4" s="91">
        <v>25</v>
      </c>
      <c r="H4" s="91">
        <v>10</v>
      </c>
      <c r="I4" s="163">
        <v>25</v>
      </c>
      <c r="J4" s="163">
        <v>20</v>
      </c>
      <c r="K4" s="91">
        <v>25</v>
      </c>
      <c r="L4" s="91">
        <v>14</v>
      </c>
      <c r="M4" s="163">
        <v>0</v>
      </c>
      <c r="N4" s="163">
        <v>0</v>
      </c>
      <c r="O4" s="91">
        <v>0</v>
      </c>
      <c r="P4" s="91">
        <v>0</v>
      </c>
      <c r="Q4" s="163">
        <f>G4+I4+K4+M4+O4</f>
        <v>75</v>
      </c>
      <c r="R4" s="163">
        <f>H4+J4+L4+N4+P4</f>
        <v>44</v>
      </c>
      <c r="T4" s="162">
        <v>1</v>
      </c>
      <c r="U4" s="92" t="s">
        <v>171</v>
      </c>
      <c r="V4" s="99">
        <f>AG4*3+AH4*3+AI4*2+AJ4*1</f>
        <v>9</v>
      </c>
      <c r="W4" s="104">
        <f>X4+Y4+Z4</f>
        <v>3</v>
      </c>
      <c r="X4" s="104">
        <f>COUNTIF($E$4,"=3")+COUNTIF($E$9,"=3")+COUNTIF($E$12,"=3")</f>
        <v>3</v>
      </c>
      <c r="Y4" s="103">
        <f>SUM(IF($E$4&lt;$F$4,1,0))+SUM(IF($E$9&lt;$F$9,1,0))+SUM(IF($E$12&lt;$F$12,1,0))</f>
        <v>0</v>
      </c>
      <c r="Z4" s="101"/>
      <c r="AA4" s="93">
        <f>$E$4+$E$9+$E$12</f>
        <v>9</v>
      </c>
      <c r="AB4" s="93">
        <f>$F$4+$F$9+$F$12</f>
        <v>0</v>
      </c>
      <c r="AC4" s="163" t="str">
        <f>IF(AB4=0,"MAX",AA4/AB4)</f>
        <v>MAX</v>
      </c>
      <c r="AD4" s="93">
        <f>$Q$4+$Q$9+$Q$12</f>
        <v>225</v>
      </c>
      <c r="AE4" s="93">
        <f>$R$4+$R$9+$R$12</f>
        <v>99</v>
      </c>
      <c r="AF4" s="163">
        <f>IF(AE4=0,"MAX",AD4/AE4)</f>
        <v>2.2727272727272729</v>
      </c>
      <c r="AG4" s="163">
        <f>SUM(IF(AND($E$4=3,$F$4=0),1,0))+SUM(IF(AND($E$9=3,$F$9=0),1,0))+SUM(IF(AND($E$12=3,$F$12=0),1,0))</f>
        <v>3</v>
      </c>
      <c r="AH4" s="163">
        <f>SUM(IF(AND($E$4=3,$F$4=1),1,0))+SUM(IF(AND($E$9=3,$F$9=1),1,0))+SUM(IF(AND($E$12=3,$F$12=1),1,0))</f>
        <v>0</v>
      </c>
      <c r="AI4" s="163">
        <f>SUM(IF(AND($E$4=3,$F$4=2),1,0))+SUM(IF(AND($E$9=3,$F$9=2),1,0))+SUM(IF(AND($E$12=3,$F$12=2),1,0))</f>
        <v>0</v>
      </c>
      <c r="AJ4" s="163">
        <f>SUM(IF(AND($E$4=2,$F$4=3),1,0))+SUM(IF(AND($E$9=2,$F$9=3),1,0))+SUM(IF(AND($E$12=2,$F$12=3),1,0))</f>
        <v>0</v>
      </c>
      <c r="AK4" s="163">
        <f>SUM(IF(AND($E$4=1,$F$4=3),1,0))+SUM(IF(AND($E$9=1,$F$9=3),1,0))+SUM(IF(AND($E$12=1,$F$12=3),1,0))</f>
        <v>0</v>
      </c>
      <c r="AL4" s="163">
        <f>SUM(IF(AND($E$4=0,$F$4=3),1,0))+SUM(IF(AND($E$9=0,$F$9=3),1,0))+SUM(IF(AND($E$12=0,$F$12=3),1,0))</f>
        <v>0</v>
      </c>
    </row>
    <row r="5" spans="1:39" ht="12" x14ac:dyDescent="0.2">
      <c r="A5" s="163" t="s">
        <v>173</v>
      </c>
      <c r="B5" s="163" t="s">
        <v>170</v>
      </c>
      <c r="C5" s="90" t="s">
        <v>174</v>
      </c>
      <c r="D5" s="90" t="s">
        <v>153</v>
      </c>
      <c r="E5" s="154">
        <v>3</v>
      </c>
      <c r="F5" s="154">
        <v>0</v>
      </c>
      <c r="G5" s="91">
        <v>25</v>
      </c>
      <c r="H5" s="91">
        <v>17</v>
      </c>
      <c r="I5" s="163">
        <v>25</v>
      </c>
      <c r="J5" s="163">
        <v>15</v>
      </c>
      <c r="K5" s="91">
        <v>25</v>
      </c>
      <c r="L5" s="91">
        <v>23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Q19" si="0">G5+I5+K5+M5+O5</f>
        <v>75</v>
      </c>
      <c r="R5" s="163">
        <f t="shared" ref="R5:R19" si="1">H5+J5+L5+N5+P5</f>
        <v>55</v>
      </c>
      <c r="T5" s="162">
        <v>2</v>
      </c>
      <c r="U5" s="162" t="s">
        <v>172</v>
      </c>
      <c r="V5" s="99">
        <f>AG5*3+AH5*3+AI5*2+AJ5*1</f>
        <v>5</v>
      </c>
      <c r="W5" s="104">
        <f>X5+Y5+Z5</f>
        <v>3</v>
      </c>
      <c r="X5" s="104">
        <f>COUNTIF($F$4,"=3")+COUNTIF($F$6,"=3")+COUNTIF($E$13,"=3")</f>
        <v>2</v>
      </c>
      <c r="Y5" s="104">
        <f>SUM(IF($F$4&lt;$E$4,1,0))+SUM(IF($F$6&lt;$E$6,1,0))+SUM(IF($E$13&lt;$F$13,1,0))</f>
        <v>1</v>
      </c>
      <c r="Z5" s="98"/>
      <c r="AA5" s="163">
        <f>$F$4+$F$6+$E$13</f>
        <v>6</v>
      </c>
      <c r="AB5" s="163">
        <f>$E$4+$E$6+$F$13</f>
        <v>6</v>
      </c>
      <c r="AC5" s="163">
        <f>IF(AB5=0,"MAX",AA5/AB5)</f>
        <v>1</v>
      </c>
      <c r="AD5" s="163">
        <f>$R$4+$R$6+$Q$13</f>
        <v>233</v>
      </c>
      <c r="AE5" s="163">
        <f>$Q$4+$Q$6+$R$13</f>
        <v>247</v>
      </c>
      <c r="AF5" s="163">
        <f>IF(AE5=0,"MAX",AD5/AE5)</f>
        <v>0.94331983805668018</v>
      </c>
      <c r="AG5" s="163">
        <f>SUM(IF(AND($F$4=3,$E$4=0),1,0))+SUM(IF(AND($F$6=3,$E$6=0),1,0))+SUM(IF(AND($E$13=3,$E$14=0),1,0))</f>
        <v>0</v>
      </c>
      <c r="AH5" s="163">
        <f>SUM(IF(AND($F$4=3,$E$4=1),1,0))+SUM(IF(AND($F$6=3,$E$6=1),1,0))+SUM(IF(AND($E$13=3,$F$13=1),1,0))</f>
        <v>1</v>
      </c>
      <c r="AI5" s="163">
        <f>SUM(IF(AND($F$4=3,$E$4=2),1,0))+SUM(IF(AND($F$6=3,$E$6=2),1,0))+SUM(IF(AND($E$13=3,$F$13=2),1,0))</f>
        <v>1</v>
      </c>
      <c r="AJ5" s="163">
        <f>SUM(IF(AND($F$4=2,$E$4=3),1,0))+SUM(IF(AND($F$6=2,$E$6=3),1,0))+SUM(IF(AND($E$13=2,$F$13=3),1,0))</f>
        <v>0</v>
      </c>
      <c r="AK5" s="163">
        <f>SUM(IF(AND($F$4=1,$E$4=3),1,0))+SUM(IF(AND($F$6=1,$E$6=3),1,0))+SUM(IF(AND($E$13=1,$F$13=3),1,0))</f>
        <v>0</v>
      </c>
      <c r="AL5" s="163">
        <f>SUM(IF(AND($F$4=0,$E$4=3),1,0))+SUM(IF(AND($F$6=0,$E$6=3),1,0))+SUM(IF(AND($E$13=0,$F$13=3),1,0))</f>
        <v>1</v>
      </c>
    </row>
    <row r="6" spans="1:39" ht="12" x14ac:dyDescent="0.2">
      <c r="A6" s="163" t="s">
        <v>175</v>
      </c>
      <c r="B6" s="163" t="s">
        <v>170</v>
      </c>
      <c r="C6" s="162" t="s">
        <v>174</v>
      </c>
      <c r="D6" s="90" t="s">
        <v>172</v>
      </c>
      <c r="E6" s="154">
        <v>1</v>
      </c>
      <c r="F6" s="154">
        <v>3</v>
      </c>
      <c r="G6" s="91">
        <v>20</v>
      </c>
      <c r="H6" s="91">
        <v>25</v>
      </c>
      <c r="I6" s="163">
        <v>19</v>
      </c>
      <c r="J6" s="163">
        <v>25</v>
      </c>
      <c r="K6" s="91">
        <v>25</v>
      </c>
      <c r="L6" s="91">
        <v>18</v>
      </c>
      <c r="M6" s="163">
        <v>11</v>
      </c>
      <c r="N6" s="163">
        <v>25</v>
      </c>
      <c r="O6" s="91">
        <v>0</v>
      </c>
      <c r="P6" s="91">
        <v>0</v>
      </c>
      <c r="Q6" s="163">
        <f t="shared" si="0"/>
        <v>75</v>
      </c>
      <c r="R6" s="163">
        <f t="shared" si="1"/>
        <v>93</v>
      </c>
      <c r="T6" s="162">
        <v>3</v>
      </c>
      <c r="U6" s="162" t="s">
        <v>174</v>
      </c>
      <c r="V6" s="99">
        <f>AG6*3+AH6*3+AI6*2+AJ6*1</f>
        <v>3</v>
      </c>
      <c r="W6" s="104">
        <f>X6+Y6+Z6</f>
        <v>3</v>
      </c>
      <c r="X6" s="104">
        <f>COUNTIF($E$5,"=3")+COUNTIF($E$6,"=3")+COUNTIF($F$12,"=3")</f>
        <v>1</v>
      </c>
      <c r="Y6" s="104">
        <f>SUM(IF($E$5&lt;$F$5,1,0))+SUM(IF($E$6&lt;$F$6,1,0))+SUM(IF($F$12&lt;$E$12,1,0))</f>
        <v>2</v>
      </c>
      <c r="Z6" s="98"/>
      <c r="AA6" s="163">
        <f>$E$5+$E$6+$F$12</f>
        <v>4</v>
      </c>
      <c r="AB6" s="163">
        <f>$F$5+$F$6+$E$12</f>
        <v>6</v>
      </c>
      <c r="AC6" s="163">
        <f>IF(AB6=0,"MAX",AA6/AB6)</f>
        <v>0.66666666666666663</v>
      </c>
      <c r="AD6" s="163">
        <f>$Q$5+$Q$6+$R$12</f>
        <v>186</v>
      </c>
      <c r="AE6" s="163">
        <f>$R$5+$R$6+$Q$12</f>
        <v>223</v>
      </c>
      <c r="AF6" s="163">
        <f>IF(AE6=0,"MAX",AD6/AE6)</f>
        <v>0.8340807174887892</v>
      </c>
      <c r="AG6" s="163">
        <f>SUM(IF(AND($E$5=3,$F$5=0),1,0))+SUM(IF(AND($E$6=3,$F$6=0),1,0))+SUM(IF(AND($F$12=3,$E$12=0),1,0))</f>
        <v>1</v>
      </c>
      <c r="AH6" s="163">
        <f>SUM(IF(AND($E$5=3,$F$5=1),1,0))+SUM(IF(AND($E$6=3,$F$6=1),1,0))+SUM(IF(AND($F$12=3,$E$12=1),1,0))</f>
        <v>0</v>
      </c>
      <c r="AI6" s="163">
        <f>SUM(IF(AND($E$5=3,$F$5=2),1,0))+SUM(IF(AND($E$6=3,$F$6=2),1,0))+SUM(IF(AND($F$12=3,$E$12=2),1,0))</f>
        <v>0</v>
      </c>
      <c r="AJ6" s="163">
        <f>SUM(IF(AND($E$5=2,$F$5=3),1,0))+SUM(IF(AND($E$6=2,$F$6=3),1,0))+SUM(IF(AND($F$12=2,$E$12=3),1,0))</f>
        <v>0</v>
      </c>
      <c r="AK6" s="163">
        <f>SUM(IF(AND($E$5=1,$F$5=3),1,0))+SUM(IF(AND($E$6=1,$F$6=3),1,0))+SUM(IF(AND($F$12=1,$E$12=3),1,0))</f>
        <v>1</v>
      </c>
      <c r="AL6" s="163">
        <f>SUM(IF(AND($E$5=0,$F$5=3),1,0))+SUM(IF(AND($E$6=0,$F$6=3),1,0))+SUM(IF(AND($F$12=0,$E$12=3),1,0))</f>
        <v>1</v>
      </c>
    </row>
    <row r="7" spans="1:39" ht="12" x14ac:dyDescent="0.2">
      <c r="A7" s="163" t="s">
        <v>176</v>
      </c>
      <c r="B7" s="163" t="s">
        <v>170</v>
      </c>
      <c r="C7" s="90" t="s">
        <v>149</v>
      </c>
      <c r="D7" s="92" t="s">
        <v>177</v>
      </c>
      <c r="E7" s="154">
        <v>3</v>
      </c>
      <c r="F7" s="154">
        <v>0</v>
      </c>
      <c r="G7" s="91">
        <v>25</v>
      </c>
      <c r="H7" s="91">
        <v>16</v>
      </c>
      <c r="I7" s="163">
        <v>25</v>
      </c>
      <c r="J7" s="163">
        <v>18</v>
      </c>
      <c r="K7" s="91">
        <v>25</v>
      </c>
      <c r="L7" s="91">
        <v>16</v>
      </c>
      <c r="M7" s="163">
        <v>0</v>
      </c>
      <c r="N7" s="163">
        <v>0</v>
      </c>
      <c r="O7" s="91">
        <v>0</v>
      </c>
      <c r="P7" s="91">
        <v>0</v>
      </c>
      <c r="Q7" s="163">
        <f t="shared" si="0"/>
        <v>75</v>
      </c>
      <c r="R7" s="163">
        <f t="shared" si="1"/>
        <v>50</v>
      </c>
      <c r="T7" s="162">
        <v>4</v>
      </c>
      <c r="U7" s="162" t="s">
        <v>153</v>
      </c>
      <c r="V7" s="99">
        <f>AG7*3+AH7*3+AI7*2+AJ7*1</f>
        <v>1</v>
      </c>
      <c r="W7" s="104">
        <f>X7+Y7+Z7</f>
        <v>3</v>
      </c>
      <c r="X7" s="104">
        <f>COUNTIF($F$5,"=3")+COUNTIF($F$9,"=3")+COUNTIF($F$13,"=3")</f>
        <v>0</v>
      </c>
      <c r="Y7" s="104">
        <f>SUM(IF($F$5&lt;$E$5,1,0))+SUM(IF($F$9&lt;$E$9,1,0))+SUM(IF($F$13&lt;$E$13,1,0))</f>
        <v>3</v>
      </c>
      <c r="Z7" s="98"/>
      <c r="AA7" s="163">
        <f>$F$5+$F$9+$F$13</f>
        <v>2</v>
      </c>
      <c r="AB7" s="163">
        <f>$E$5+$E$9+$E$13</f>
        <v>9</v>
      </c>
      <c r="AC7" s="163">
        <f>IF(AB7=0,"MAX",AA7/AB7)</f>
        <v>0.22222222222222221</v>
      </c>
      <c r="AD7" s="163">
        <f>$R$5+$R$9+$R$13</f>
        <v>171</v>
      </c>
      <c r="AE7" s="163">
        <f>$Q$5+$Q$9+$Q$13</f>
        <v>246</v>
      </c>
      <c r="AF7" s="163">
        <f>IF(AE7=0,"MAX",AD7/AE7)</f>
        <v>0.69512195121951215</v>
      </c>
      <c r="AG7" s="163">
        <f>SUM(IF(AND($F$5=3,$E$5=0),1,0))+SUM(IF(AND($F$9=3,$E$9=0),1,0))+SUM(IF(AND($F$13=3,$E$13=0),1,0))</f>
        <v>0</v>
      </c>
      <c r="AH7" s="163">
        <f>SUM(IF(AND($F$5=3,$E$5=1),1,0))+SUM(IF(AND($F$9=3,$E$9=1),1,0))+SUM(IF(AND($F$13=3,$E$13=1),1,0))</f>
        <v>0</v>
      </c>
      <c r="AI7" s="163">
        <f>SUM(IF(AND($F$5=3,$E$5=2),1,0))+SUM(IF(AND($F$9=3,$E$9=2),1,0))+SUM(IF(AND($F$13=3,$E$13=2),1,0))</f>
        <v>0</v>
      </c>
      <c r="AJ7" s="163">
        <f>SUM(IF(AND($F$5=2,$E$5=3),1,0))+SUM(IF(AND($F$9=2,$E$9=3),1,0))+SUM(IF(AND($F$13=2,$E$13=3),1,0))</f>
        <v>1</v>
      </c>
      <c r="AK7" s="163">
        <f>SUM(IF(AND($F$5=1,$E$5=3),1,0))+SUM(IF(AND($F$9=1,$E$9=3),1,0))+SUM(IF(AND($F$13=1,$E$13=3),1,0))</f>
        <v>0</v>
      </c>
      <c r="AL7" s="163">
        <f>SUM(IF(AND($F$5=0,$E$5=3),1,0))+SUM(IF(AND($F$9=0,$E$9=3),1,0))+SUM(IF(AND($F$13=0,$E$13=3),1,0))</f>
        <v>2</v>
      </c>
    </row>
    <row r="8" spans="1:39" ht="12" x14ac:dyDescent="0.2">
      <c r="A8" s="163" t="s">
        <v>178</v>
      </c>
      <c r="B8" s="163" t="s">
        <v>170</v>
      </c>
      <c r="C8" s="90" t="s">
        <v>150</v>
      </c>
      <c r="D8" s="90" t="s">
        <v>179</v>
      </c>
      <c r="E8" s="154">
        <v>3</v>
      </c>
      <c r="F8" s="154">
        <v>0</v>
      </c>
      <c r="G8" s="91">
        <v>25</v>
      </c>
      <c r="H8" s="91">
        <v>25</v>
      </c>
      <c r="I8" s="163">
        <v>25</v>
      </c>
      <c r="J8" s="94">
        <v>7</v>
      </c>
      <c r="K8" s="91">
        <v>25</v>
      </c>
      <c r="L8" s="91">
        <v>13</v>
      </c>
      <c r="M8" s="163">
        <v>0</v>
      </c>
      <c r="N8" s="163">
        <v>0</v>
      </c>
      <c r="O8" s="91">
        <v>0</v>
      </c>
      <c r="P8" s="91">
        <v>0</v>
      </c>
      <c r="Q8" s="163">
        <f t="shared" si="0"/>
        <v>75</v>
      </c>
      <c r="R8" s="163">
        <f t="shared" si="1"/>
        <v>45</v>
      </c>
      <c r="T8" s="95"/>
      <c r="U8" s="95"/>
      <c r="V8" s="95"/>
      <c r="W8" s="95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"/>
    </row>
    <row r="9" spans="1:39" ht="12" x14ac:dyDescent="0.2">
      <c r="A9" s="163" t="s">
        <v>180</v>
      </c>
      <c r="B9" s="163" t="s">
        <v>170</v>
      </c>
      <c r="C9" s="90" t="s">
        <v>171</v>
      </c>
      <c r="D9" s="162" t="s">
        <v>153</v>
      </c>
      <c r="E9" s="154">
        <v>3</v>
      </c>
      <c r="F9" s="154">
        <v>0</v>
      </c>
      <c r="G9" s="91">
        <v>25</v>
      </c>
      <c r="H9" s="91">
        <v>5</v>
      </c>
      <c r="I9" s="163">
        <v>25</v>
      </c>
      <c r="J9" s="94">
        <v>5</v>
      </c>
      <c r="K9" s="91">
        <v>25</v>
      </c>
      <c r="L9" s="91">
        <v>9</v>
      </c>
      <c r="M9" s="163">
        <v>0</v>
      </c>
      <c r="N9" s="163">
        <v>0</v>
      </c>
      <c r="O9" s="91">
        <v>0</v>
      </c>
      <c r="P9" s="91">
        <v>0</v>
      </c>
      <c r="Q9" s="163">
        <f t="shared" si="0"/>
        <v>75</v>
      </c>
      <c r="R9" s="163">
        <f t="shared" si="1"/>
        <v>19</v>
      </c>
      <c r="T9" s="95"/>
      <c r="U9" s="95"/>
      <c r="V9" s="95"/>
      <c r="W9" s="95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9" ht="12" x14ac:dyDescent="0.2">
      <c r="A10" s="163" t="s">
        <v>181</v>
      </c>
      <c r="B10" s="163" t="s">
        <v>170</v>
      </c>
      <c r="C10" s="90" t="s">
        <v>149</v>
      </c>
      <c r="D10" s="90" t="s">
        <v>179</v>
      </c>
      <c r="E10" s="154">
        <v>3</v>
      </c>
      <c r="F10" s="154">
        <v>1</v>
      </c>
      <c r="G10" s="91">
        <v>19</v>
      </c>
      <c r="H10" s="91">
        <v>25</v>
      </c>
      <c r="I10" s="163">
        <v>25</v>
      </c>
      <c r="J10" s="94">
        <v>15</v>
      </c>
      <c r="K10" s="91">
        <v>25</v>
      </c>
      <c r="L10" s="91">
        <v>13</v>
      </c>
      <c r="M10" s="163">
        <v>25</v>
      </c>
      <c r="N10" s="163">
        <v>15</v>
      </c>
      <c r="O10" s="91">
        <v>0</v>
      </c>
      <c r="P10" s="91">
        <v>0</v>
      </c>
      <c r="Q10" s="163">
        <f t="shared" si="0"/>
        <v>94</v>
      </c>
      <c r="R10" s="163">
        <f t="shared" si="1"/>
        <v>68</v>
      </c>
      <c r="T10" s="160"/>
      <c r="U10" s="160" t="s">
        <v>182</v>
      </c>
      <c r="V10" s="160" t="s">
        <v>1</v>
      </c>
      <c r="W10" s="253" t="s">
        <v>2</v>
      </c>
      <c r="X10" s="253"/>
      <c r="Y10" s="253"/>
      <c r="Z10" s="253"/>
      <c r="AA10" s="254" t="s">
        <v>4</v>
      </c>
      <c r="AB10" s="254"/>
      <c r="AC10" s="254"/>
      <c r="AD10" s="254" t="s">
        <v>3</v>
      </c>
      <c r="AE10" s="254"/>
      <c r="AF10" s="254"/>
      <c r="AG10" s="254" t="s">
        <v>162</v>
      </c>
      <c r="AH10" s="254"/>
      <c r="AI10" s="254"/>
      <c r="AJ10" s="254"/>
      <c r="AK10" s="254"/>
      <c r="AL10" s="254"/>
    </row>
    <row r="11" spans="1:39" ht="12" x14ac:dyDescent="0.2">
      <c r="A11" s="163" t="s">
        <v>183</v>
      </c>
      <c r="B11" s="163" t="s">
        <v>170</v>
      </c>
      <c r="C11" s="90" t="s">
        <v>150</v>
      </c>
      <c r="D11" s="92" t="s">
        <v>177</v>
      </c>
      <c r="E11" s="154">
        <v>3</v>
      </c>
      <c r="F11" s="154">
        <v>0</v>
      </c>
      <c r="G11" s="91">
        <v>25</v>
      </c>
      <c r="H11" s="91">
        <v>18</v>
      </c>
      <c r="I11" s="163">
        <v>25</v>
      </c>
      <c r="J11" s="94">
        <v>13</v>
      </c>
      <c r="K11" s="91">
        <v>25</v>
      </c>
      <c r="L11" s="91">
        <v>22</v>
      </c>
      <c r="M11" s="163">
        <v>0</v>
      </c>
      <c r="N11" s="163">
        <v>0</v>
      </c>
      <c r="O11" s="91">
        <v>0</v>
      </c>
      <c r="P11" s="91">
        <v>0</v>
      </c>
      <c r="Q11" s="163">
        <f t="shared" si="0"/>
        <v>75</v>
      </c>
      <c r="R11" s="163">
        <f t="shared" si="1"/>
        <v>53</v>
      </c>
      <c r="T11" s="160" t="s">
        <v>10</v>
      </c>
      <c r="U11" s="160" t="s">
        <v>11</v>
      </c>
      <c r="V11" s="160" t="s">
        <v>3</v>
      </c>
      <c r="W11" s="100" t="s">
        <v>9</v>
      </c>
      <c r="X11" s="102" t="s">
        <v>12</v>
      </c>
      <c r="Y11" s="102" t="s">
        <v>13</v>
      </c>
      <c r="Z11" s="160" t="s">
        <v>14</v>
      </c>
      <c r="AA11" s="160" t="s">
        <v>12</v>
      </c>
      <c r="AB11" s="88" t="s">
        <v>13</v>
      </c>
      <c r="AC11" s="160" t="s">
        <v>16</v>
      </c>
      <c r="AD11" s="160" t="s">
        <v>12</v>
      </c>
      <c r="AE11" s="88" t="s">
        <v>13</v>
      </c>
      <c r="AF11" s="160" t="s">
        <v>16</v>
      </c>
      <c r="AG11" s="89" t="s">
        <v>163</v>
      </c>
      <c r="AH11" s="89" t="s">
        <v>164</v>
      </c>
      <c r="AI11" s="89" t="s">
        <v>165</v>
      </c>
      <c r="AJ11" s="89" t="s">
        <v>166</v>
      </c>
      <c r="AK11" s="89" t="s">
        <v>167</v>
      </c>
      <c r="AL11" s="89" t="s">
        <v>168</v>
      </c>
    </row>
    <row r="12" spans="1:39" ht="12" x14ac:dyDescent="0.2">
      <c r="A12" s="163" t="s">
        <v>184</v>
      </c>
      <c r="B12" s="163" t="s">
        <v>170</v>
      </c>
      <c r="C12" s="162" t="s">
        <v>171</v>
      </c>
      <c r="D12" s="90" t="s">
        <v>174</v>
      </c>
      <c r="E12" s="154">
        <v>3</v>
      </c>
      <c r="F12" s="154">
        <v>0</v>
      </c>
      <c r="G12" s="91">
        <v>25</v>
      </c>
      <c r="H12" s="91">
        <v>15</v>
      </c>
      <c r="I12" s="163">
        <v>25</v>
      </c>
      <c r="J12" s="94">
        <v>8</v>
      </c>
      <c r="K12" s="91">
        <v>25</v>
      </c>
      <c r="L12" s="91">
        <v>13</v>
      </c>
      <c r="M12" s="163">
        <v>0</v>
      </c>
      <c r="N12" s="163">
        <v>0</v>
      </c>
      <c r="O12" s="91">
        <v>0</v>
      </c>
      <c r="P12" s="91">
        <v>0</v>
      </c>
      <c r="Q12" s="163">
        <f t="shared" si="0"/>
        <v>75</v>
      </c>
      <c r="R12" s="163">
        <f t="shared" si="1"/>
        <v>36</v>
      </c>
      <c r="T12" s="162">
        <v>1</v>
      </c>
      <c r="U12" s="92" t="s">
        <v>185</v>
      </c>
      <c r="V12" s="99">
        <f>AG12*3+AH12*3+AI12*2+AJ12*1</f>
        <v>8</v>
      </c>
      <c r="W12" s="104">
        <f>X12+Y12+Z12</f>
        <v>3</v>
      </c>
      <c r="X12" s="104">
        <f>COUNTIF($E$8,"=3")+COUNTIF($E$11,"=3")+COUNTIF($E$14,"=3")</f>
        <v>3</v>
      </c>
      <c r="Y12" s="103">
        <f>SUM(IF($E$8&lt;$F$8,1,0))+SUM(IF($E$11&lt;$F$11,1,0))+SUM(IF($E$14&lt;$F$14,1,0))</f>
        <v>0</v>
      </c>
      <c r="Z12" s="101"/>
      <c r="AA12" s="93">
        <f>$E$8+$E$11+$E$14</f>
        <v>9</v>
      </c>
      <c r="AB12" s="93">
        <f>$F$8+$F$11+$F$14</f>
        <v>2</v>
      </c>
      <c r="AC12" s="163">
        <f>IF(AB12=0,"MAX",AA12/AB12)</f>
        <v>4.5</v>
      </c>
      <c r="AD12" s="93">
        <f>$Q$8+$Q$11+$Q$14</f>
        <v>255</v>
      </c>
      <c r="AE12" s="93">
        <f>$R$8+$R$11+$R$14</f>
        <v>207</v>
      </c>
      <c r="AF12" s="163">
        <f>IF(AE12=0,"MAX",AD12/AE12)</f>
        <v>1.2318840579710144</v>
      </c>
      <c r="AG12" s="163">
        <f>SUM(IF(AND($E$8=3,$F$8=0),1,0))+SUM(IF(AND($E$11=3,$F$11=0),1,0))+SUM(IF(AND($E$14=3,$F$14=0),1,0))</f>
        <v>2</v>
      </c>
      <c r="AH12" s="163">
        <f>SUM(IF(AND($E$8=3,$F$8=1),1,0))+SUM(IF(AND($E$11=3,$F$11=1),1,0))+SUM(IF(AND($E$14=3,$F$14=1),1,0))</f>
        <v>0</v>
      </c>
      <c r="AI12" s="163">
        <f>SUM(IF(AND($E$8=3,$F$8=2),1,0))+SUM(IF(AND($E$11=3,$F$11=2),1,0))+SUM(IF(AND($E$14=3,$F$14=2),1,0))</f>
        <v>1</v>
      </c>
      <c r="AJ12" s="163">
        <f>SUM(IF(AND($E$8=2,$F$8=3),1,0))+SUM(IF(AND($E$11=2,$F$11=3),1,0))+SUM(IF(AND($E$14=2,$F$14=3),1,0))</f>
        <v>0</v>
      </c>
      <c r="AK12" s="163">
        <f>SUM(IF(AND($E$8=1,$F$8=3),1,0))+SUM(IF(AND($E$11=1,$F$11=3),1,0))+SUM(IF(AND($E$14=1,$F$14=3),1,0))</f>
        <v>0</v>
      </c>
      <c r="AL12" s="163">
        <f>SUM(IF(AND($E$8=0,$F$8=3),1,0))+SUM(IF(AND($E$11=0,$F$11=3),1,0))+SUM(IF(AND($E$14=0,$F$14=3),1,0))</f>
        <v>0</v>
      </c>
    </row>
    <row r="13" spans="1:39" ht="12" x14ac:dyDescent="0.2">
      <c r="A13" s="163" t="s">
        <v>186</v>
      </c>
      <c r="B13" s="163" t="s">
        <v>170</v>
      </c>
      <c r="C13" s="90" t="s">
        <v>172</v>
      </c>
      <c r="D13" s="90" t="s">
        <v>153</v>
      </c>
      <c r="E13" s="154">
        <v>3</v>
      </c>
      <c r="F13" s="154">
        <v>2</v>
      </c>
      <c r="G13" s="91">
        <v>25</v>
      </c>
      <c r="H13" s="91">
        <v>22</v>
      </c>
      <c r="I13" s="163">
        <v>25</v>
      </c>
      <c r="J13" s="94">
        <v>15</v>
      </c>
      <c r="K13" s="91">
        <v>11</v>
      </c>
      <c r="L13" s="91">
        <v>25</v>
      </c>
      <c r="M13" s="163">
        <v>20</v>
      </c>
      <c r="N13" s="163">
        <v>25</v>
      </c>
      <c r="O13" s="91">
        <v>15</v>
      </c>
      <c r="P13" s="91">
        <v>10</v>
      </c>
      <c r="Q13" s="163">
        <f t="shared" si="0"/>
        <v>96</v>
      </c>
      <c r="R13" s="163">
        <f t="shared" si="1"/>
        <v>97</v>
      </c>
      <c r="T13" s="162">
        <v>2</v>
      </c>
      <c r="U13" s="162" t="s">
        <v>149</v>
      </c>
      <c r="V13" s="99">
        <f>AG13*3+AH13*3+AI13*2+AJ13*1</f>
        <v>7</v>
      </c>
      <c r="W13" s="104">
        <f>X13+Y13+Z13</f>
        <v>3</v>
      </c>
      <c r="X13" s="104">
        <f>COUNTIF($E$7,"=3")+COUNTIF($E$10,"=3")+COUNTIF($F$14,"=3")</f>
        <v>2</v>
      </c>
      <c r="Y13" s="104">
        <f>SUM(IF($E$7&lt;$F$7,1,0))+SUM(IF($E$10&lt;$F$10,1,0))+SUM(IF($F$14&lt;$E$14,1,0))</f>
        <v>1</v>
      </c>
      <c r="Z13" s="98"/>
      <c r="AA13" s="163">
        <f>$E$7+$E$10+$E$14</f>
        <v>9</v>
      </c>
      <c r="AB13" s="163">
        <f>$F$7+$F$10+$E$14</f>
        <v>4</v>
      </c>
      <c r="AC13" s="163">
        <f>IF(AB13=0,"MAX",AA13/AB13)</f>
        <v>2.25</v>
      </c>
      <c r="AD13" s="163">
        <f>$Q$7+$Q$10+$R$14</f>
        <v>278</v>
      </c>
      <c r="AE13" s="163">
        <f>$R$7+$R$10+$Q$14</f>
        <v>223</v>
      </c>
      <c r="AF13" s="163">
        <f>IF(AE13=0,"MAX",AD13/AE13)</f>
        <v>1.2466367713004485</v>
      </c>
      <c r="AG13" s="163">
        <f>SUM(IF(AND($E$7=3,$F$7=0),1,0))+SUM(IF(AND($E$10=3,$E$10=0),1,0))+SUM(IF(AND($F$14=3,$E$14=0),1,0))</f>
        <v>1</v>
      </c>
      <c r="AH13" s="163">
        <f>SUM(IF(AND($E$7=3,$F$7=1),1,0))+SUM(IF(AND($E$10=3,$F$10=1),1,0))+SUM(IF(AND($F$14=3,$E$14=1),1,0))</f>
        <v>1</v>
      </c>
      <c r="AI13" s="163">
        <f>SUM(IF(AND($E$7=3,$F$7=2),1,0))+SUM(IF(AND($E$10=3,$F$10=2),1,0))+SUM(IF(AND($F$14=3,$E$14=2),1,0))</f>
        <v>0</v>
      </c>
      <c r="AJ13" s="163">
        <f>SUM(IF(AND($E$7=2,$F$7=3),1,0))+SUM(IF(AND($E$10=2,$F$10=3),1,0))+SUM(IF(AND($F$14=2,$E$14=3),1,0))</f>
        <v>1</v>
      </c>
      <c r="AK13" s="163">
        <f>SUM(IF(AND($E$7=1,$F$7=3),1,0))+SUM(IF(AND($E$10=1,$F$10=3),1,0))+SUM(IF(AND($F$14=1,$E$14=3),1,0))</f>
        <v>0</v>
      </c>
      <c r="AL13" s="163">
        <f>SUM(IF(AND($E$7=0,$F$7=3),1,0))+SUM(IF(AND($E$10=0,$F$10=3),1,0))+SUM(IF(AND($F$14=0,$E$14=3),1,0))</f>
        <v>0</v>
      </c>
    </row>
    <row r="14" spans="1:39" ht="12" x14ac:dyDescent="0.2">
      <c r="A14" s="163" t="s">
        <v>187</v>
      </c>
      <c r="B14" s="163" t="s">
        <v>170</v>
      </c>
      <c r="C14" s="162" t="s">
        <v>150</v>
      </c>
      <c r="D14" s="90" t="s">
        <v>149</v>
      </c>
      <c r="E14" s="154">
        <v>3</v>
      </c>
      <c r="F14" s="154">
        <v>2</v>
      </c>
      <c r="G14" s="91">
        <v>17</v>
      </c>
      <c r="H14" s="91">
        <v>25</v>
      </c>
      <c r="I14" s="163">
        <v>25</v>
      </c>
      <c r="J14" s="94">
        <v>23</v>
      </c>
      <c r="K14" s="91">
        <v>25</v>
      </c>
      <c r="L14" s="91">
        <v>23</v>
      </c>
      <c r="M14" s="163">
        <v>23</v>
      </c>
      <c r="N14" s="163">
        <v>25</v>
      </c>
      <c r="O14" s="91">
        <v>15</v>
      </c>
      <c r="P14" s="91">
        <v>13</v>
      </c>
      <c r="Q14" s="163">
        <f t="shared" si="0"/>
        <v>105</v>
      </c>
      <c r="R14" s="163">
        <f t="shared" si="1"/>
        <v>109</v>
      </c>
      <c r="T14" s="162">
        <v>3</v>
      </c>
      <c r="U14" s="162" t="s">
        <v>177</v>
      </c>
      <c r="V14" s="99">
        <f>AG14*3+AH14*3+AI14*2+AJ14*1</f>
        <v>3</v>
      </c>
      <c r="W14" s="104">
        <f>X14+Y14+Z14</f>
        <v>3</v>
      </c>
      <c r="X14" s="104">
        <f>COUNTIF($F$7,"=3")+COUNTIF($F$11,"=3")+COUNTIF($F$15,"=3")</f>
        <v>1</v>
      </c>
      <c r="Y14" s="104">
        <f>SUM(IF($F$7&lt;$E$7,1,0))+SUM(IF($F$11&lt;$E$11,1,0))+SUM(IF($F$15&lt;$E$15,1,0))</f>
        <v>2</v>
      </c>
      <c r="Z14" s="98"/>
      <c r="AA14" s="163">
        <f>$F$7+$F$11+$F$15</f>
        <v>3</v>
      </c>
      <c r="AB14" s="163">
        <f>$F$7+$F$11+$E$15</f>
        <v>1</v>
      </c>
      <c r="AC14" s="163">
        <f>IF(AB14=0,"MAX",AA14/AB14)</f>
        <v>3</v>
      </c>
      <c r="AD14" s="163">
        <f>$R$7+$R$11+$R$15</f>
        <v>199</v>
      </c>
      <c r="AE14" s="163">
        <f>$Q$7+$Q$11+$Q$15</f>
        <v>224</v>
      </c>
      <c r="AF14" s="163">
        <f>IF(AE14=0,"MAX",AD14/AE14)</f>
        <v>0.8883928571428571</v>
      </c>
      <c r="AG14" s="163">
        <f>SUM(IF(AND($F$7=3,$E$7=0),1,0))+SUM(IF(AND($F$11=3,$E$11=0),1,0))+SUM(IF(AND($F$15=3,$E$15=0),1,0))</f>
        <v>0</v>
      </c>
      <c r="AH14" s="163">
        <f>SUM(IF(AND($F$7=3,$E$7=1),1,0))+SUM(IF(AND($F$11=3,$E$11=1),1,0))+SUM(IF(AND($F$15=3,$E$15=1),1,0))</f>
        <v>1</v>
      </c>
      <c r="AI14" s="163">
        <f>SUM(IF(AND($F$7=3,$E$7=2),1,0))+SUM(IF(AND($F$11=3,$E$11=2),1,0))+SUM(IF(AND($F$15=3,$E$15=2),1,0))</f>
        <v>0</v>
      </c>
      <c r="AJ14" s="163">
        <f>SUM(IF(AND($F$7=2,$E$7=3),1,0))+SUM(IF(AND($F$11=2,$E$11=3),1,0))+SUM(IF(AND($F$15=2,$E$15=3),1,0))</f>
        <v>0</v>
      </c>
      <c r="AK14" s="163">
        <f>SUM(IF(AND($F$7=1,$E$7=3),1,0))+SUM(IF(AND($F$11=1,$E$11=3),1,0))+SUM(IF(AND($F$15=1,$E$15=3),1,0))</f>
        <v>0</v>
      </c>
      <c r="AL14" s="163">
        <f>SUM(IF(AND($F$7=0,$E$7=3),1,0))+SUM(IF(AND($F$11=0,$E$11=3),1,0))+SUM(IF(AND($F$15=0,$E$15=3),1,0))</f>
        <v>2</v>
      </c>
    </row>
    <row r="15" spans="1:39" ht="12" x14ac:dyDescent="0.2">
      <c r="A15" s="163" t="s">
        <v>188</v>
      </c>
      <c r="B15" s="163" t="s">
        <v>170</v>
      </c>
      <c r="C15" s="90" t="s">
        <v>179</v>
      </c>
      <c r="D15" s="92" t="s">
        <v>177</v>
      </c>
      <c r="E15" s="154">
        <v>1</v>
      </c>
      <c r="F15" s="154">
        <v>3</v>
      </c>
      <c r="G15" s="91">
        <v>11</v>
      </c>
      <c r="H15" s="91">
        <v>25</v>
      </c>
      <c r="I15" s="163">
        <v>25</v>
      </c>
      <c r="J15" s="94">
        <v>21</v>
      </c>
      <c r="K15" s="91">
        <v>23</v>
      </c>
      <c r="L15" s="91">
        <v>25</v>
      </c>
      <c r="M15" s="163">
        <v>15</v>
      </c>
      <c r="N15" s="163">
        <v>25</v>
      </c>
      <c r="O15" s="91">
        <v>0</v>
      </c>
      <c r="P15" s="91">
        <v>0</v>
      </c>
      <c r="Q15" s="163">
        <f t="shared" si="0"/>
        <v>74</v>
      </c>
      <c r="R15" s="163">
        <f t="shared" si="1"/>
        <v>96</v>
      </c>
      <c r="T15" s="162">
        <v>4</v>
      </c>
      <c r="U15" s="162" t="s">
        <v>179</v>
      </c>
      <c r="V15" s="99">
        <f>AG15*3+AH15*3+AI15*2+AJ15*1</f>
        <v>0</v>
      </c>
      <c r="W15" s="104">
        <f>X15+Y15+Z15</f>
        <v>3</v>
      </c>
      <c r="X15" s="104">
        <f>COUNTIF($F$8,"=3")+COUNTIF($F$10,"=3")+COUNTIF($E$15,"=3")</f>
        <v>0</v>
      </c>
      <c r="Y15" s="104">
        <f>SUM(IF($F$8&lt;$E$8,1,0))+SUM(IF($F$11&lt;$E$11,1,0))+SUM(IF($E$15&lt;$F$15,1,0))</f>
        <v>3</v>
      </c>
      <c r="Z15" s="98"/>
      <c r="AA15" s="163">
        <f>$F$8+$F$10+$E$15</f>
        <v>2</v>
      </c>
      <c r="AB15" s="163">
        <f>$E$8+$E$10+$F$15</f>
        <v>9</v>
      </c>
      <c r="AC15" s="163">
        <f>IF(AB15=0,"MAX",AA15/AB15)</f>
        <v>0.22222222222222221</v>
      </c>
      <c r="AD15" s="163">
        <f>$R$8+$R$10+$Q$15</f>
        <v>187</v>
      </c>
      <c r="AE15" s="163">
        <f>$Q$7+$Q$10+$R$15</f>
        <v>265</v>
      </c>
      <c r="AF15" s="163">
        <f>IF(AE15=0,"MAX",AD15/AE15)</f>
        <v>0.70566037735849052</v>
      </c>
      <c r="AG15" s="163">
        <f>SUM(IF(AND($F$8=3,$E$8=0),1,0))+SUM(IF(AND($F$10=3,$E$10=0),1,0))+SUM(IF(AND($E$15=3,$F$15=0),1,0))</f>
        <v>0</v>
      </c>
      <c r="AH15" s="163">
        <f>SUM(IF(AND($F$8=3,$E$8=1),1,0))+SUM(IF(AND($F$10=3,$E$10=1),1,0))+SUM(IF(AND($E$15=3,$F$15=1),1,0))</f>
        <v>0</v>
      </c>
      <c r="AI15" s="163">
        <f>SUM(IF(AND($F$8=3,$E$8=2),1,0))+SUM(IF(AND($F$10=3,$E$10=2),1,0))+SUM(IF(AND($E$15=3,$F$15=2),1,0))</f>
        <v>0</v>
      </c>
      <c r="AJ15" s="163">
        <f>SUM(IF(AND($F$8=2,$E$8=3),1,0))+SUM(IF(AND($F$10=2,$E$10=3),1,0))+SUM(IF(AND($E$15=2,$F$15=3),1,0))</f>
        <v>0</v>
      </c>
      <c r="AK15" s="163">
        <f>SUM(IF(AND($F$8=1,$E$8=3),1,0))+SUM(IF(AND($F$10=1,$E$10=3),1,0))+SUM(IF(AND($E$15=1,$F$15=3),1,0))</f>
        <v>2</v>
      </c>
      <c r="AL15" s="163">
        <f>SUM(IF(AND($F$8=0,$E$8=3),1,0))+SUM(IF(AND($F$10=0,$E$10=3),1,0))+SUM(IF(AND($E$15=0,$F$15=3),1,0))</f>
        <v>1</v>
      </c>
    </row>
    <row r="16" spans="1:39" ht="12" x14ac:dyDescent="0.2">
      <c r="A16" s="163" t="s">
        <v>189</v>
      </c>
      <c r="B16" s="163" t="s">
        <v>190</v>
      </c>
      <c r="C16" s="90" t="s">
        <v>171</v>
      </c>
      <c r="D16" s="90" t="s">
        <v>149</v>
      </c>
      <c r="E16" s="154">
        <v>3</v>
      </c>
      <c r="F16" s="154">
        <v>0</v>
      </c>
      <c r="G16" s="91">
        <v>25</v>
      </c>
      <c r="H16" s="91">
        <v>20</v>
      </c>
      <c r="I16" s="163">
        <v>25</v>
      </c>
      <c r="J16" s="94">
        <v>15</v>
      </c>
      <c r="K16" s="91">
        <v>25</v>
      </c>
      <c r="L16" s="91">
        <v>17</v>
      </c>
      <c r="M16" s="163">
        <v>0</v>
      </c>
      <c r="N16" s="163">
        <v>0</v>
      </c>
      <c r="O16" s="91">
        <v>0</v>
      </c>
      <c r="P16" s="91">
        <v>0</v>
      </c>
      <c r="Q16" s="163">
        <f t="shared" si="0"/>
        <v>75</v>
      </c>
      <c r="R16" s="163">
        <f t="shared" si="1"/>
        <v>52</v>
      </c>
    </row>
    <row r="17" spans="1:22" ht="12" x14ac:dyDescent="0.2">
      <c r="A17" s="163" t="s">
        <v>191</v>
      </c>
      <c r="B17" s="163" t="s">
        <v>192</v>
      </c>
      <c r="C17" s="90" t="s">
        <v>150</v>
      </c>
      <c r="D17" s="90" t="s">
        <v>172</v>
      </c>
      <c r="E17" s="154">
        <v>3</v>
      </c>
      <c r="F17" s="154">
        <v>0</v>
      </c>
      <c r="G17" s="91">
        <v>25</v>
      </c>
      <c r="H17" s="91">
        <v>9</v>
      </c>
      <c r="I17" s="163">
        <v>25</v>
      </c>
      <c r="J17" s="94">
        <v>12</v>
      </c>
      <c r="K17" s="91">
        <v>25</v>
      </c>
      <c r="L17" s="91">
        <v>12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0"/>
        <v>75</v>
      </c>
      <c r="R17" s="163">
        <f t="shared" si="1"/>
        <v>33</v>
      </c>
      <c r="T17" s="19"/>
      <c r="U17" s="19"/>
      <c r="V17" s="19"/>
    </row>
    <row r="18" spans="1:22" ht="12" x14ac:dyDescent="0.2">
      <c r="A18" s="163" t="s">
        <v>193</v>
      </c>
      <c r="B18" s="163" t="s">
        <v>194</v>
      </c>
      <c r="C18" s="162" t="s">
        <v>149</v>
      </c>
      <c r="D18" s="90" t="s">
        <v>172</v>
      </c>
      <c r="E18" s="154">
        <v>3</v>
      </c>
      <c r="F18" s="154">
        <v>0</v>
      </c>
      <c r="G18" s="91">
        <v>25</v>
      </c>
      <c r="H18" s="91">
        <v>16</v>
      </c>
      <c r="I18" s="163">
        <v>25</v>
      </c>
      <c r="J18" s="94">
        <v>13</v>
      </c>
      <c r="K18" s="91">
        <v>25</v>
      </c>
      <c r="L18" s="91">
        <v>11</v>
      </c>
      <c r="M18" s="163">
        <v>0</v>
      </c>
      <c r="N18" s="163">
        <v>0</v>
      </c>
      <c r="O18" s="91">
        <v>0</v>
      </c>
      <c r="P18" s="91">
        <v>0</v>
      </c>
      <c r="Q18" s="163">
        <f t="shared" si="0"/>
        <v>75</v>
      </c>
      <c r="R18" s="163">
        <f t="shared" si="1"/>
        <v>40</v>
      </c>
      <c r="S18" s="97"/>
      <c r="T18" s="19"/>
      <c r="U18" s="19"/>
      <c r="V18" s="19"/>
    </row>
    <row r="19" spans="1:22" ht="12" x14ac:dyDescent="0.2">
      <c r="A19" s="163" t="s">
        <v>195</v>
      </c>
      <c r="B19" s="163" t="s">
        <v>196</v>
      </c>
      <c r="C19" s="92" t="s">
        <v>171</v>
      </c>
      <c r="D19" s="90" t="s">
        <v>150</v>
      </c>
      <c r="E19" s="154">
        <v>3</v>
      </c>
      <c r="F19" s="154">
        <v>2</v>
      </c>
      <c r="G19" s="91">
        <v>20</v>
      </c>
      <c r="H19" s="91">
        <v>25</v>
      </c>
      <c r="I19" s="163">
        <v>19</v>
      </c>
      <c r="J19" s="94">
        <v>25</v>
      </c>
      <c r="K19" s="91">
        <v>25</v>
      </c>
      <c r="L19" s="91">
        <v>13</v>
      </c>
      <c r="M19" s="163">
        <v>25</v>
      </c>
      <c r="N19" s="163">
        <v>23</v>
      </c>
      <c r="O19" s="91">
        <v>15</v>
      </c>
      <c r="P19" s="91">
        <v>12</v>
      </c>
      <c r="Q19" s="163">
        <f t="shared" si="0"/>
        <v>104</v>
      </c>
      <c r="R19" s="163">
        <f t="shared" si="1"/>
        <v>98</v>
      </c>
      <c r="S19" s="97"/>
      <c r="T19" s="19"/>
      <c r="U19" s="19"/>
      <c r="V19" s="19"/>
    </row>
  </sheetData>
  <sheetProtection selectLockedCells="1" selectUnlockedCells="1"/>
  <sortState ref="U14:AL15">
    <sortCondition descending="1" ref="V14:V15"/>
    <sortCondition descending="1" ref="AC14:AC15"/>
    <sortCondition descending="1" ref="AF14:AF15"/>
  </sortState>
  <mergeCells count="19">
    <mergeCell ref="AD10:AF10"/>
    <mergeCell ref="AG10:AL10"/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  <mergeCell ref="W10:Z10"/>
    <mergeCell ref="AA10:AC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showGridLines="0" topLeftCell="D1" zoomScaleNormal="100" workbookViewId="0">
      <selection activeCell="AI4" sqref="AI4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8554687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63" t="s">
        <v>197</v>
      </c>
      <c r="B4" s="163" t="s">
        <v>170</v>
      </c>
      <c r="C4" s="162" t="s">
        <v>198</v>
      </c>
      <c r="D4" s="90" t="s">
        <v>152</v>
      </c>
      <c r="E4" s="154">
        <v>2</v>
      </c>
      <c r="F4" s="154">
        <v>3</v>
      </c>
      <c r="G4" s="91">
        <v>26</v>
      </c>
      <c r="H4" s="91">
        <v>24</v>
      </c>
      <c r="I4" s="163">
        <v>25</v>
      </c>
      <c r="J4" s="163">
        <v>27</v>
      </c>
      <c r="K4" s="91">
        <v>25</v>
      </c>
      <c r="L4" s="91">
        <v>15</v>
      </c>
      <c r="M4" s="163">
        <v>12</v>
      </c>
      <c r="N4" s="163">
        <v>25</v>
      </c>
      <c r="O4" s="91">
        <v>9</v>
      </c>
      <c r="P4" s="91">
        <v>15</v>
      </c>
      <c r="Q4" s="163">
        <f>G4+I4+K4+M4+O4</f>
        <v>97</v>
      </c>
      <c r="R4" s="163">
        <f>H4+J4+P4+N4+L4</f>
        <v>106</v>
      </c>
      <c r="T4" s="162">
        <v>1</v>
      </c>
      <c r="U4" s="162" t="s">
        <v>150</v>
      </c>
      <c r="V4" s="99">
        <f>AG4*3+AH4*3+AI4*2+AJ4*1</f>
        <v>5</v>
      </c>
      <c r="W4" s="104">
        <f>X4+Y4+Z4</f>
        <v>2</v>
      </c>
      <c r="X4" s="104">
        <f>COUNTIF($E$5,"=3")+COUNTIF($E$6,"=3")</f>
        <v>2</v>
      </c>
      <c r="Y4" s="104">
        <f>SUM(IF($E$5&lt;$F$5,1,0))+SUM(IF($E$6&lt;$F$6,1,0))</f>
        <v>0</v>
      </c>
      <c r="Z4" s="98"/>
      <c r="AA4" s="163">
        <f>$E$5+$E$6</f>
        <v>6</v>
      </c>
      <c r="AB4" s="163">
        <f>$F$5+$F$6</f>
        <v>3</v>
      </c>
      <c r="AC4" s="163">
        <f>IF(AB4=0,"MAX",AA4/AB4)</f>
        <v>2</v>
      </c>
      <c r="AD4" s="163">
        <f>$Q$5+$Q$6</f>
        <v>212</v>
      </c>
      <c r="AE4" s="163">
        <f>$R$5+$R$6</f>
        <v>188</v>
      </c>
      <c r="AF4" s="163">
        <f>IF(AE4=0,"MAX",AD4/AE4)</f>
        <v>1.1276595744680851</v>
      </c>
      <c r="AG4" s="163">
        <f>SUM(IF(AND($E$5=3,$F$5=0),1,0))+SUM(IF(AND($E$6=3,$E$6=0),1,0))</f>
        <v>0</v>
      </c>
      <c r="AH4" s="163">
        <f>SUM(IF(AND($E$5=3,$F$5=1),1,0))+SUM(IF(AND($E$6=3,$F$6=1),1,0))</f>
        <v>1</v>
      </c>
      <c r="AI4" s="163">
        <f>SUM(IF(AND($E$5=3,$F$5=2),1,0))+SUM(IF(AND($E$6=3,$F$6=2),1,0))</f>
        <v>1</v>
      </c>
      <c r="AJ4" s="163">
        <f>SUM(IF(AND($E$5=2,$F$5=3),1,0))+SUM(IF(AND($E$6=2,$F$6=3),1,0))</f>
        <v>0</v>
      </c>
      <c r="AK4" s="163">
        <f>SUM(IF(AND($E$5=1,$F$5=3),1,0))+SUM(IF(AND($E$6=1,$F$6=3),1,0))</f>
        <v>0</v>
      </c>
      <c r="AL4" s="163">
        <f>SUM(IF(AND($E$5=0,$F$5=3),1,0))+SUM(IF(AND($E$6=0,$F$6=3),1,0))</f>
        <v>0</v>
      </c>
    </row>
    <row r="5" spans="1:38" ht="12" x14ac:dyDescent="0.2">
      <c r="A5" s="163" t="s">
        <v>199</v>
      </c>
      <c r="B5" s="163" t="s">
        <v>170</v>
      </c>
      <c r="C5" s="90" t="s">
        <v>150</v>
      </c>
      <c r="D5" s="90" t="s">
        <v>198</v>
      </c>
      <c r="E5" s="154">
        <v>3</v>
      </c>
      <c r="F5" s="154">
        <v>2</v>
      </c>
      <c r="G5" s="91">
        <v>20</v>
      </c>
      <c r="H5" s="91">
        <v>25</v>
      </c>
      <c r="I5" s="163">
        <v>26</v>
      </c>
      <c r="J5" s="163">
        <v>28</v>
      </c>
      <c r="K5" s="91">
        <v>25</v>
      </c>
      <c r="L5" s="91">
        <v>22</v>
      </c>
      <c r="M5" s="163">
        <v>25</v>
      </c>
      <c r="N5" s="163">
        <v>16</v>
      </c>
      <c r="O5" s="91">
        <v>18</v>
      </c>
      <c r="P5" s="91">
        <v>16</v>
      </c>
      <c r="Q5" s="163">
        <f>G5+I5+K5+M5+O5</f>
        <v>114</v>
      </c>
      <c r="R5" s="163">
        <f>H5+J5+P5+N5+L5</f>
        <v>107</v>
      </c>
      <c r="T5" s="162">
        <v>2</v>
      </c>
      <c r="U5" s="92" t="s">
        <v>152</v>
      </c>
      <c r="V5" s="99">
        <f>AG5*3+AH5*3+AI5*2+AJ5*1</f>
        <v>2</v>
      </c>
      <c r="W5" s="104">
        <f>X5+Y5+Z5</f>
        <v>2</v>
      </c>
      <c r="X5" s="104">
        <f>COUNTIF($F$4,"=3")+COUNTIF($F$6,"=3")</f>
        <v>1</v>
      </c>
      <c r="Y5" s="103">
        <f>SUM(IF($F$4&lt;$E$4,1,0))+SUM(IF($F$6&lt;$E$6,1,0))</f>
        <v>1</v>
      </c>
      <c r="Z5" s="101"/>
      <c r="AA5" s="93">
        <f>$F$4+$F$6</f>
        <v>4</v>
      </c>
      <c r="AB5" s="93">
        <f>$E$4+$E$6</f>
        <v>5</v>
      </c>
      <c r="AC5" s="163">
        <f>IF(AB5=0,"MAX",AA5/AB5)</f>
        <v>0.8</v>
      </c>
      <c r="AD5" s="93">
        <f>$R$4+$R$6</f>
        <v>187</v>
      </c>
      <c r="AE5" s="93">
        <f>$Q$4+$Q$6</f>
        <v>195</v>
      </c>
      <c r="AF5" s="163">
        <f>IF(AE5=0,"MAX",AD5/AE5)</f>
        <v>0.95897435897435901</v>
      </c>
      <c r="AG5" s="163">
        <f>SUM(IF(AND($F$4=3,$E$4=0),1,0))+SUM(IF(AND($F$6=3,$E$6=0),1,0))</f>
        <v>0</v>
      </c>
      <c r="AH5" s="163">
        <f>SUM(IF(AND($F$4=3,$E$4=1),1,0))+SUM(IF(AND($F$6=3,$E$6=1),1,0))</f>
        <v>0</v>
      </c>
      <c r="AI5" s="163">
        <f>SUM(IF(AND($F$4=3,$E$4=2),1,0))+SUM(IF(AND($F$6=3,$E$6=2),1,0))</f>
        <v>1</v>
      </c>
      <c r="AJ5" s="163">
        <f>SUM(IF(AND($F$4=2,$E$4=3),1,0))+SUM(IF(AND($F$6=2,$E$6=3),1,0))</f>
        <v>0</v>
      </c>
      <c r="AK5" s="163">
        <f>SUM(IF(AND($F$4=1,$E$4=3),1,0))+SUM(IF(AND($F$6=1,$E$6=3),1,0))</f>
        <v>1</v>
      </c>
      <c r="AL5" s="163">
        <f>SUM(IF(AND($F$4=0,$E$4=3),1,0))+SUM(IF(AND($F$6=0,$E$6=3),1,0))</f>
        <v>0</v>
      </c>
    </row>
    <row r="6" spans="1:38" ht="12" x14ac:dyDescent="0.2">
      <c r="A6" s="163" t="s">
        <v>200</v>
      </c>
      <c r="B6" s="163" t="s">
        <v>170</v>
      </c>
      <c r="C6" s="162" t="s">
        <v>150</v>
      </c>
      <c r="D6" s="90" t="s">
        <v>152</v>
      </c>
      <c r="E6" s="154">
        <v>3</v>
      </c>
      <c r="F6" s="154">
        <v>1</v>
      </c>
      <c r="G6" s="91">
        <v>23</v>
      </c>
      <c r="H6" s="91">
        <v>25</v>
      </c>
      <c r="I6" s="163">
        <v>25</v>
      </c>
      <c r="J6" s="163">
        <v>21</v>
      </c>
      <c r="K6" s="91">
        <v>25</v>
      </c>
      <c r="L6" s="91">
        <v>14</v>
      </c>
      <c r="M6" s="163">
        <v>25</v>
      </c>
      <c r="N6" s="163">
        <v>21</v>
      </c>
      <c r="O6" s="91">
        <v>0</v>
      </c>
      <c r="P6" s="91">
        <v>0</v>
      </c>
      <c r="Q6" s="163">
        <f>G6+I6+K6+M6+O6</f>
        <v>98</v>
      </c>
      <c r="R6" s="163">
        <f>H6+J6+P6+N6+L6</f>
        <v>81</v>
      </c>
      <c r="T6" s="162">
        <v>3</v>
      </c>
      <c r="U6" s="162" t="s">
        <v>198</v>
      </c>
      <c r="V6" s="99">
        <f>AG6*3+AH6*3+AI6*2+AJ6*1</f>
        <v>2</v>
      </c>
      <c r="W6" s="104">
        <f>X6+Y6+Z6</f>
        <v>2</v>
      </c>
      <c r="X6" s="104">
        <f>COUNTIF($E$4,"=3")+COUNTIF($F$5,"=3")</f>
        <v>0</v>
      </c>
      <c r="Y6" s="104">
        <f>SUM(IF($E$4&lt;$F$4,1,0))+SUM(IF($F$5&lt;$E$5,1,0))</f>
        <v>2</v>
      </c>
      <c r="Z6" s="98"/>
      <c r="AA6" s="163">
        <f>$E$4+$E$5</f>
        <v>5</v>
      </c>
      <c r="AB6" s="163">
        <f>$F$4+$E$6</f>
        <v>6</v>
      </c>
      <c r="AC6" s="163">
        <f>IF(AB6=0,"MAX",AA6/AB6)</f>
        <v>0.83333333333333337</v>
      </c>
      <c r="AD6" s="163">
        <f>$Q$4+$R$6</f>
        <v>178</v>
      </c>
      <c r="AE6" s="163">
        <f>$R$4+$Q$5</f>
        <v>220</v>
      </c>
      <c r="AF6" s="163">
        <f>IF(AE6=0,"MAX",AD6/AE6)</f>
        <v>0.80909090909090908</v>
      </c>
      <c r="AG6" s="163">
        <f>SUM(IF(AND($E$4=3,$F$4=0),1,0))+SUM(IF(AND($F$5=3,$E$5=0),1,0))</f>
        <v>0</v>
      </c>
      <c r="AH6" s="163">
        <f>SUM(IF(AND($E$4=3,$F$4=1),1,0))+SUM(IF(AND($F$5=3,$E$5=1),1,0))</f>
        <v>0</v>
      </c>
      <c r="AI6" s="163">
        <f>SUM(IF(AND($E$4=3,$F$4=2),1,0))+SUM(IF(AND($F$5=3,$E$5=2),1,0))</f>
        <v>0</v>
      </c>
      <c r="AJ6" s="163">
        <f>SUM(IF(AND($E$4=2,$F$4=3),1,0))+SUM(IF(AND($F$5=2,$E$5=3),1,0))</f>
        <v>2</v>
      </c>
      <c r="AK6" s="163">
        <f>SUM(IF(AND($E$4=1,$F$4=3),1,0))+SUM(IF(AND($F$5=1,$E$5=3),1,0))</f>
        <v>0</v>
      </c>
      <c r="AL6" s="163">
        <f>SUM(IF(AND($E$4=0,$F$4=3),1,0))+SUM(IF(AND($F$5=0,$E$5=3),1,0))</f>
        <v>0</v>
      </c>
    </row>
    <row r="7" spans="1:38" ht="12" x14ac:dyDescent="0.2">
      <c r="A7" s="163" t="s">
        <v>201</v>
      </c>
      <c r="B7" s="163" t="s">
        <v>202</v>
      </c>
      <c r="C7" s="90" t="s">
        <v>150</v>
      </c>
      <c r="D7" s="92" t="s">
        <v>152</v>
      </c>
      <c r="E7" s="154">
        <v>3</v>
      </c>
      <c r="F7" s="154">
        <v>0</v>
      </c>
      <c r="G7" s="91">
        <v>25</v>
      </c>
      <c r="H7" s="91">
        <v>17</v>
      </c>
      <c r="I7" s="163">
        <v>25</v>
      </c>
      <c r="J7" s="163">
        <v>19</v>
      </c>
      <c r="K7" s="91">
        <v>25</v>
      </c>
      <c r="L7" s="91">
        <v>17</v>
      </c>
      <c r="M7" s="163">
        <v>0</v>
      </c>
      <c r="N7" s="163">
        <v>0</v>
      </c>
      <c r="O7" s="91">
        <v>0</v>
      </c>
      <c r="P7" s="91">
        <v>0</v>
      </c>
      <c r="Q7" s="163">
        <f>G7+I7+K7+M7+O7</f>
        <v>75</v>
      </c>
      <c r="R7" s="163">
        <f>H7+J7+P7+N7+L7</f>
        <v>53</v>
      </c>
    </row>
  </sheetData>
  <sheetProtection selectLockedCells="1" selectUnlockedCells="1"/>
  <sortState ref="U4:AL6">
    <sortCondition descending="1" ref="V4:V6"/>
  </sortState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showGridLines="0" topLeftCell="D2" zoomScaleNormal="100" workbookViewId="0">
      <selection activeCell="R5" sqref="R5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2.710937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9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9" ht="12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161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9" ht="12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9" ht="12" x14ac:dyDescent="0.2">
      <c r="A4" s="163" t="s">
        <v>203</v>
      </c>
      <c r="B4" s="163" t="s">
        <v>170</v>
      </c>
      <c r="C4" s="162" t="s">
        <v>150</v>
      </c>
      <c r="D4" s="90" t="s">
        <v>171</v>
      </c>
      <c r="E4" s="154">
        <v>0</v>
      </c>
      <c r="F4" s="154">
        <v>3</v>
      </c>
      <c r="G4" s="91">
        <v>23</v>
      </c>
      <c r="H4" s="91">
        <v>25</v>
      </c>
      <c r="I4" s="163">
        <v>23</v>
      </c>
      <c r="J4" s="163">
        <v>25</v>
      </c>
      <c r="K4" s="91">
        <v>21</v>
      </c>
      <c r="L4" s="91">
        <v>25</v>
      </c>
      <c r="M4" s="163">
        <v>0</v>
      </c>
      <c r="N4" s="163">
        <v>0</v>
      </c>
      <c r="O4" s="91">
        <v>0</v>
      </c>
      <c r="P4" s="91">
        <v>0</v>
      </c>
      <c r="Q4" s="163">
        <f>G4+I4+K4+M4+4</f>
        <v>71</v>
      </c>
      <c r="R4" s="163">
        <f>H4+J4+L4+N4+P4</f>
        <v>75</v>
      </c>
      <c r="T4" s="162">
        <v>1</v>
      </c>
      <c r="U4" s="92" t="s">
        <v>150</v>
      </c>
      <c r="V4" s="99">
        <f>AG4*3+AH4*3+AI4*2+AJ4*1</f>
        <v>0</v>
      </c>
      <c r="W4" s="104">
        <f>X4+Y4+Z4</f>
        <v>1</v>
      </c>
      <c r="X4" s="104">
        <f>COUNTIF($E$4,"=3")</f>
        <v>0</v>
      </c>
      <c r="Y4" s="103">
        <f>SUM(IF($E$4&lt;$F$4,1,0))</f>
        <v>1</v>
      </c>
      <c r="Z4" s="101"/>
      <c r="AA4" s="93">
        <f>$E$4</f>
        <v>0</v>
      </c>
      <c r="AB4" s="93">
        <f>$F$4</f>
        <v>3</v>
      </c>
      <c r="AC4" s="163">
        <f>IF(AB4=0,"MAX",AA4/AB4)</f>
        <v>0</v>
      </c>
      <c r="AD4" s="93">
        <f>$Q$4</f>
        <v>71</v>
      </c>
      <c r="AE4" s="93">
        <f>$R$4</f>
        <v>75</v>
      </c>
      <c r="AF4" s="163">
        <f>IF(AE4=0,"MAX",AD4/AE4)</f>
        <v>0.94666666666666666</v>
      </c>
      <c r="AG4" s="163">
        <f>SUM(IF(AND($E$4=3,$F$4=0),1,0))</f>
        <v>0</v>
      </c>
      <c r="AH4" s="163">
        <f>SUM(IF(AND($E$4=3,$F$4=1),1,0))</f>
        <v>0</v>
      </c>
      <c r="AI4" s="163">
        <f>SUM(IF(AND($E$4=3,$F$4=2),1,0))</f>
        <v>0</v>
      </c>
      <c r="AJ4" s="163">
        <f>SUM(IF(AND($E$4=2,$F$4=3),1,0))</f>
        <v>0</v>
      </c>
      <c r="AK4" s="163">
        <f>SUM(IF(AND($E$4=1,$F$4=3),1,0))</f>
        <v>0</v>
      </c>
      <c r="AL4" s="163">
        <f>SUM(IF(AND($E$4=0,$F$4=3),1,0))</f>
        <v>1</v>
      </c>
    </row>
    <row r="5" spans="1:39" x14ac:dyDescent="0.2">
      <c r="T5" s="162">
        <v>2</v>
      </c>
      <c r="U5" s="162" t="s">
        <v>171</v>
      </c>
      <c r="V5" s="99">
        <f>AG5*3+AH5*3+AI5*2+AJ5*1</f>
        <v>3</v>
      </c>
      <c r="W5" s="104">
        <f>X5+Y5+Z5</f>
        <v>1</v>
      </c>
      <c r="X5" s="104">
        <f>COUNTIF($F$4,"=3")</f>
        <v>1</v>
      </c>
      <c r="Y5" s="104">
        <f>SUM(IF($F$4&lt;$E$4,1,0))</f>
        <v>0</v>
      </c>
      <c r="Z5" s="98"/>
      <c r="AA5" s="163">
        <f>$F$4</f>
        <v>3</v>
      </c>
      <c r="AB5" s="163">
        <f>$E$4</f>
        <v>0</v>
      </c>
      <c r="AC5" s="163" t="str">
        <f>IF(AB5=0,"MAX",AA5/AB5)</f>
        <v>MAX</v>
      </c>
      <c r="AD5" s="163">
        <f>$R$4</f>
        <v>75</v>
      </c>
      <c r="AE5" s="163">
        <f>$Q$4</f>
        <v>71</v>
      </c>
      <c r="AF5" s="163">
        <f>IF(AE5=0,"MAX",AD5/AE5)</f>
        <v>1.056338028169014</v>
      </c>
      <c r="AG5" s="163">
        <f>SUM(IF(AND($F$4=3,$E$4=0),1,0))</f>
        <v>1</v>
      </c>
      <c r="AH5" s="163">
        <f>SUM(IF(AND($F$4=3,$E$4=1),1,0))</f>
        <v>0</v>
      </c>
      <c r="AI5" s="163">
        <f>SUM(IF(AND($F$4=3,$E$4=2),1,0))</f>
        <v>0</v>
      </c>
      <c r="AJ5" s="163">
        <f>SUM(IF(AND($F$4=2,$E$4=3),1,0))</f>
        <v>0</v>
      </c>
      <c r="AK5" s="163">
        <f>SUM(IF(AND($F$4=1,$E$4=3),1,0))</f>
        <v>0</v>
      </c>
      <c r="AL5" s="163">
        <f>SUM(IF(AND($F$4=0,$E$4=3),1,0))</f>
        <v>0</v>
      </c>
    </row>
    <row r="6" spans="1:39" x14ac:dyDescent="0.2">
      <c r="T6" s="19"/>
      <c r="U6" s="19"/>
      <c r="V6" s="19"/>
    </row>
    <row r="7" spans="1:39" x14ac:dyDescent="0.2">
      <c r="T7" s="19"/>
      <c r="U7" s="19"/>
      <c r="V7" s="19"/>
    </row>
    <row r="8" spans="1:39" x14ac:dyDescent="0.2">
      <c r="AM8" s="9"/>
    </row>
    <row r="18" spans="19:19" x14ac:dyDescent="0.2">
      <c r="S18" s="97"/>
    </row>
    <row r="19" spans="19:19" x14ac:dyDescent="0.2">
      <c r="S19" s="97"/>
    </row>
  </sheetData>
  <sheetProtection selectLockedCells="1" selectUnlockedCells="1"/>
  <mergeCells count="15">
    <mergeCell ref="A1:AF1"/>
    <mergeCell ref="C2:D2"/>
    <mergeCell ref="E2:F2"/>
    <mergeCell ref="G2:R2"/>
    <mergeCell ref="W2:Z2"/>
    <mergeCell ref="AA2:AC2"/>
    <mergeCell ref="AD2:AF2"/>
    <mergeCell ref="AG2:AL2"/>
    <mergeCell ref="E3:F3"/>
    <mergeCell ref="G3:H3"/>
    <mergeCell ref="I3:J3"/>
    <mergeCell ref="K3:L3"/>
    <mergeCell ref="M3:N3"/>
    <mergeCell ref="O3:P3"/>
    <mergeCell ref="Q3:R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showGridLines="0" zoomScale="110" zoomScaleNormal="110" workbookViewId="0">
      <selection activeCell="U8" sqref="U8:U9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85546875" style="66" bestFit="1" customWidth="1"/>
    <col min="19" max="19" width="4.140625" style="9" customWidth="1"/>
    <col min="20" max="20" width="3.28515625" style="17" customWidth="1"/>
    <col min="21" max="21" width="20.140625" style="17" bestFit="1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8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8" ht="12" x14ac:dyDescent="0.2">
      <c r="A2" s="189"/>
      <c r="B2" s="189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88"/>
      <c r="U2" s="188" t="s">
        <v>1</v>
      </c>
      <c r="V2" s="188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</row>
    <row r="3" spans="1:38" ht="12" x14ac:dyDescent="0.2">
      <c r="A3" s="187" t="s">
        <v>5</v>
      </c>
      <c r="B3" s="187" t="s">
        <v>6</v>
      </c>
      <c r="C3" s="187" t="s">
        <v>7</v>
      </c>
      <c r="D3" s="187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88" t="s">
        <v>10</v>
      </c>
      <c r="U3" s="188" t="s">
        <v>11</v>
      </c>
      <c r="V3" s="188" t="s">
        <v>3</v>
      </c>
      <c r="W3" s="100" t="s">
        <v>9</v>
      </c>
      <c r="X3" s="102" t="s">
        <v>12</v>
      </c>
      <c r="Y3" s="102" t="s">
        <v>13</v>
      </c>
      <c r="Z3" s="188" t="s">
        <v>14</v>
      </c>
      <c r="AA3" s="188" t="s">
        <v>12</v>
      </c>
      <c r="AB3" s="88" t="s">
        <v>13</v>
      </c>
      <c r="AC3" s="188" t="s">
        <v>16</v>
      </c>
      <c r="AD3" s="188" t="s">
        <v>12</v>
      </c>
      <c r="AE3" s="88" t="s">
        <v>13</v>
      </c>
      <c r="AF3" s="188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</row>
    <row r="4" spans="1:38" ht="12" x14ac:dyDescent="0.2">
      <c r="A4" s="189" t="s">
        <v>356</v>
      </c>
      <c r="B4" s="189" t="s">
        <v>170</v>
      </c>
      <c r="C4" s="187" t="s">
        <v>177</v>
      </c>
      <c r="D4" s="90" t="s">
        <v>150</v>
      </c>
      <c r="E4" s="186">
        <v>1</v>
      </c>
      <c r="F4" s="186">
        <v>3</v>
      </c>
      <c r="G4" s="91">
        <v>14</v>
      </c>
      <c r="H4" s="91">
        <v>25</v>
      </c>
      <c r="I4" s="189">
        <v>10</v>
      </c>
      <c r="J4" s="189">
        <v>25</v>
      </c>
      <c r="K4" s="91">
        <v>25</v>
      </c>
      <c r="L4" s="91">
        <v>14</v>
      </c>
      <c r="M4" s="189">
        <v>15</v>
      </c>
      <c r="N4" s="189">
        <v>25</v>
      </c>
      <c r="O4" s="91">
        <v>0</v>
      </c>
      <c r="P4" s="91">
        <v>0</v>
      </c>
      <c r="Q4" s="189">
        <f>G4+I4+K4+M4+O4</f>
        <v>64</v>
      </c>
      <c r="R4" s="189">
        <f>H4+J4+P4+N4+L4</f>
        <v>89</v>
      </c>
      <c r="T4" s="187">
        <v>1</v>
      </c>
      <c r="U4" s="92" t="s">
        <v>150</v>
      </c>
      <c r="V4" s="99">
        <f>AG4*3+AH4*3+AI4*2+AJ4*1</f>
        <v>6</v>
      </c>
      <c r="W4" s="104">
        <f>X4+Y4+Z4</f>
        <v>2</v>
      </c>
      <c r="X4" s="104">
        <f>COUNTIF($F$4,"=3")+COUNTIF($F$6,"=3")</f>
        <v>2</v>
      </c>
      <c r="Y4" s="103">
        <f>SUM(IF($F$4&lt;$E$4,1,0))+SUM(IF($F$6&lt;$E$6,1,0))</f>
        <v>0</v>
      </c>
      <c r="Z4" s="101"/>
      <c r="AA4" s="93">
        <f>$F$4+$F$6</f>
        <v>6</v>
      </c>
      <c r="AB4" s="93">
        <f>$E$4+$E$6</f>
        <v>2</v>
      </c>
      <c r="AC4" s="189">
        <f>IF(AB4=0,"MAX",AA4/AB4)</f>
        <v>3</v>
      </c>
      <c r="AD4" s="93">
        <f>$R$4+$R$6</f>
        <v>188</v>
      </c>
      <c r="AE4" s="93">
        <f>$Q$4+$Q$6</f>
        <v>140</v>
      </c>
      <c r="AF4" s="189">
        <f>IF(AE4=0,"MAX",AD4/AE4)</f>
        <v>1.3428571428571427</v>
      </c>
      <c r="AG4" s="189">
        <f>SUM(IF(AND($F$4=3,$E$4=0),1,0))+SUM(IF(AND($F$6=3,$E$6=0),1,0))</f>
        <v>0</v>
      </c>
      <c r="AH4" s="189">
        <f>SUM(IF(AND($F$4=3,$E$4=1),1,0))+SUM(IF(AND($F$6=3,$E$6=1),1,0))</f>
        <v>2</v>
      </c>
      <c r="AI4" s="189">
        <f>SUM(IF(AND($F$4=3,$E$4=2),1,0))+SUM(IF(AND($F$6=3,$E$6=2),1,0))</f>
        <v>0</v>
      </c>
      <c r="AJ4" s="189">
        <f>SUM(IF(AND($F$4=2,$E$4=3),1,0))+SUM(IF(AND($F$6=2,$E$6=3),1,0))</f>
        <v>0</v>
      </c>
      <c r="AK4" s="189">
        <f>SUM(IF(AND($F$4=1,$E$4=3),1,0))+SUM(IF(AND($F$6=1,$E$6=3),1,0))</f>
        <v>0</v>
      </c>
      <c r="AL4" s="189">
        <f>SUM(IF(AND($F$4=0,$E$4=3),1,0))+SUM(IF(AND($F$6=0,$E$6=3),1,0))</f>
        <v>0</v>
      </c>
    </row>
    <row r="5" spans="1:38" ht="12" x14ac:dyDescent="0.2">
      <c r="A5" s="189" t="s">
        <v>357</v>
      </c>
      <c r="B5" s="189" t="s">
        <v>170</v>
      </c>
      <c r="C5" s="90" t="s">
        <v>149</v>
      </c>
      <c r="D5" s="90" t="s">
        <v>177</v>
      </c>
      <c r="E5" s="186">
        <v>3</v>
      </c>
      <c r="F5" s="186">
        <v>0</v>
      </c>
      <c r="G5" s="91">
        <v>0</v>
      </c>
      <c r="H5" s="91">
        <v>0</v>
      </c>
      <c r="I5" s="189">
        <v>0</v>
      </c>
      <c r="J5" s="189">
        <v>0</v>
      </c>
      <c r="K5" s="91">
        <v>0</v>
      </c>
      <c r="L5" s="91">
        <v>0</v>
      </c>
      <c r="M5" s="189">
        <v>0</v>
      </c>
      <c r="N5" s="189">
        <v>0</v>
      </c>
      <c r="O5" s="91">
        <v>0</v>
      </c>
      <c r="P5" s="91">
        <v>0</v>
      </c>
      <c r="Q5" s="189">
        <f>G5+I5+K5+M5+O5</f>
        <v>0</v>
      </c>
      <c r="R5" s="189">
        <f>H5+J5+P5+N5+L5</f>
        <v>0</v>
      </c>
      <c r="T5" s="187">
        <v>2</v>
      </c>
      <c r="U5" s="187" t="s">
        <v>149</v>
      </c>
      <c r="V5" s="99">
        <f>AG5*3+AH5*3+AI5*2+AJ5*1</f>
        <v>3</v>
      </c>
      <c r="W5" s="104">
        <f>X5+Y5+Z5</f>
        <v>2</v>
      </c>
      <c r="X5" s="104">
        <f>COUNTIF($E$5,"=3")+COUNTIF($E$6,"=3")</f>
        <v>1</v>
      </c>
      <c r="Y5" s="104">
        <f>SUM(IF($E$5&lt;$F$5,1,0))+SUM(IF($E$6&lt;$F$6,1,0))</f>
        <v>1</v>
      </c>
      <c r="Z5" s="98"/>
      <c r="AA5" s="189">
        <f>$E$5+$E$6</f>
        <v>4</v>
      </c>
      <c r="AB5" s="189">
        <f>$F$5+$F$6</f>
        <v>3</v>
      </c>
      <c r="AC5" s="189">
        <f>IF(AB5=0,"MAX",AA5/AB5)</f>
        <v>1.3333333333333333</v>
      </c>
      <c r="AD5" s="189">
        <f>$Q$5+$Q$6</f>
        <v>76</v>
      </c>
      <c r="AE5" s="189">
        <f>$R$5+$R$6</f>
        <v>99</v>
      </c>
      <c r="AF5" s="189">
        <f>IF(AE5=0,"MAX",AD5/AE5)</f>
        <v>0.76767676767676762</v>
      </c>
      <c r="AG5" s="189">
        <f>SUM(IF(AND($E$5=3,$F$5=0),1,0))+SUM(IF(AND($E$6=3,$E$6=0),1,0))</f>
        <v>1</v>
      </c>
      <c r="AH5" s="189">
        <f>SUM(IF(AND($E$5=3,$F$5=1),1,0))+SUM(IF(AND($E$6=3,$F$6=1),1,0))</f>
        <v>0</v>
      </c>
      <c r="AI5" s="189">
        <f>SUM(IF(AND($E$5=3,$F$5=2),1,0))+SUM(IF(AND($E$6=3,$F$6=2),1,0))</f>
        <v>0</v>
      </c>
      <c r="AJ5" s="189">
        <f>SUM(IF(AND($E$5=2,$F$5=3),1,0))+SUM(IF(AND($E$6=2,$F$6=3),1,0))</f>
        <v>0</v>
      </c>
      <c r="AK5" s="189">
        <f>SUM(IF(AND($E$5=1,$F$5=3),1,0))+SUM(IF(AND($E$6=1,$F$6=3),1,0))</f>
        <v>1</v>
      </c>
      <c r="AL5" s="189">
        <f>SUM(IF(AND($E$5=0,$F$5=3),1,0))+SUM(IF(AND($E$6=0,$F$6=3),1,0))</f>
        <v>0</v>
      </c>
    </row>
    <row r="6" spans="1:38" ht="12" x14ac:dyDescent="0.2">
      <c r="A6" s="189" t="s">
        <v>358</v>
      </c>
      <c r="B6" s="189" t="s">
        <v>170</v>
      </c>
      <c r="C6" s="187" t="s">
        <v>149</v>
      </c>
      <c r="D6" s="90" t="s">
        <v>150</v>
      </c>
      <c r="E6" s="186">
        <v>1</v>
      </c>
      <c r="F6" s="186">
        <v>3</v>
      </c>
      <c r="G6" s="91">
        <v>26</v>
      </c>
      <c r="H6" s="91">
        <v>24</v>
      </c>
      <c r="I6" s="189">
        <v>21</v>
      </c>
      <c r="J6" s="189">
        <v>25</v>
      </c>
      <c r="K6" s="91">
        <v>16</v>
      </c>
      <c r="L6" s="91">
        <v>25</v>
      </c>
      <c r="M6" s="189">
        <v>13</v>
      </c>
      <c r="N6" s="189">
        <v>25</v>
      </c>
      <c r="O6" s="91">
        <v>0</v>
      </c>
      <c r="P6" s="91">
        <v>0</v>
      </c>
      <c r="Q6" s="189">
        <f>G6+I6+K6+M6+O6</f>
        <v>76</v>
      </c>
      <c r="R6" s="189">
        <f>H6+J6+P6+N6+L6</f>
        <v>99</v>
      </c>
      <c r="T6" s="187">
        <v>3</v>
      </c>
      <c r="U6" s="187" t="s">
        <v>177</v>
      </c>
      <c r="V6" s="99">
        <f>AG6*3+AH6*3+AI6*2+AJ6*1</f>
        <v>0</v>
      </c>
      <c r="W6" s="104">
        <f>X6+Y6+Z6</f>
        <v>2</v>
      </c>
      <c r="X6" s="104">
        <f>COUNTIF($E$4,"=3")+COUNTIF($F$5,"=3")</f>
        <v>0</v>
      </c>
      <c r="Y6" s="104">
        <f>SUM(IF($E$4&lt;$F$4,1,0))+SUM(IF($F$5&lt;$E$5,1,0))</f>
        <v>2</v>
      </c>
      <c r="Z6" s="98"/>
      <c r="AA6" s="189">
        <f>$E$4+$E$5</f>
        <v>4</v>
      </c>
      <c r="AB6" s="189">
        <f>$F$4+$E$6</f>
        <v>4</v>
      </c>
      <c r="AC6" s="189">
        <f>IF(AB6=0,"MAX",AA6/AB6)</f>
        <v>1</v>
      </c>
      <c r="AD6" s="189">
        <f>$Q$4+$R$6</f>
        <v>163</v>
      </c>
      <c r="AE6" s="189">
        <f>$R$4+$Q$5</f>
        <v>89</v>
      </c>
      <c r="AF6" s="189">
        <f>IF(AE6=0,"MAX",AD6/AE6)</f>
        <v>1.8314606741573034</v>
      </c>
      <c r="AG6" s="189">
        <f>SUM(IF(AND($E$4=3,$F$4=0),1,0))+SUM(IF(AND($F$5=3,$E$5=0),1,0))</f>
        <v>0</v>
      </c>
      <c r="AH6" s="189">
        <f>SUM(IF(AND($E$4=3,$F$4=1),1,0))+SUM(IF(AND($F$5=3,$E$5=1),1,0))</f>
        <v>0</v>
      </c>
      <c r="AI6" s="189">
        <f>SUM(IF(AND($E$4=3,$F$4=2),1,0))+SUM(IF(AND($F$5=3,$E$5=2),1,0))</f>
        <v>0</v>
      </c>
      <c r="AJ6" s="189">
        <f>SUM(IF(AND($E$4=2,$F$4=3),1,0))+SUM(IF(AND($F$5=2,$E$5=3),1,0))</f>
        <v>0</v>
      </c>
      <c r="AK6" s="189">
        <f>SUM(IF(AND($E$4=1,$F$4=3),1,0))+SUM(IF(AND($F$5=1,$E$5=3),1,0))</f>
        <v>1</v>
      </c>
      <c r="AL6" s="189">
        <f>SUM(IF(AND($E$4=0,$F$4=3),1,0))+SUM(IF(AND($F$5=0,$E$5=3),1,0))</f>
        <v>1</v>
      </c>
    </row>
    <row r="7" spans="1:38" ht="12" x14ac:dyDescent="0.2">
      <c r="A7" s="189" t="s">
        <v>359</v>
      </c>
      <c r="B7" s="189" t="s">
        <v>202</v>
      </c>
      <c r="C7" s="90" t="s">
        <v>149</v>
      </c>
      <c r="D7" s="92" t="s">
        <v>150</v>
      </c>
      <c r="E7" s="186">
        <v>3</v>
      </c>
      <c r="F7" s="186">
        <v>1</v>
      </c>
      <c r="G7" s="91">
        <v>21</v>
      </c>
      <c r="H7" s="91">
        <v>25</v>
      </c>
      <c r="I7" s="189">
        <v>25</v>
      </c>
      <c r="J7" s="189">
        <v>19</v>
      </c>
      <c r="K7" s="91">
        <v>25</v>
      </c>
      <c r="L7" s="91">
        <v>18</v>
      </c>
      <c r="M7" s="189">
        <v>25</v>
      </c>
      <c r="N7" s="189">
        <v>20</v>
      </c>
      <c r="O7" s="91">
        <v>0</v>
      </c>
      <c r="P7" s="91">
        <v>0</v>
      </c>
      <c r="Q7" s="189">
        <f>G7+I7+K7+M7+O7</f>
        <v>96</v>
      </c>
      <c r="R7" s="189">
        <f>H7+J7+P7+N7+L7</f>
        <v>82</v>
      </c>
    </row>
  </sheetData>
  <sheetProtection selectLockedCells="1" selectUnlockedCells="1"/>
  <sortState ref="U4:AL6">
    <sortCondition descending="1" ref="V4:V6"/>
    <sortCondition descending="1" ref="AC4:AC6"/>
    <sortCondition descending="1" ref="AF4:AF6"/>
  </sortState>
  <mergeCells count="15">
    <mergeCell ref="AG2:AL2"/>
    <mergeCell ref="E3:F3"/>
    <mergeCell ref="G3:H3"/>
    <mergeCell ref="I3:J3"/>
    <mergeCell ref="K3:L3"/>
    <mergeCell ref="M3:N3"/>
    <mergeCell ref="O3:P3"/>
    <mergeCell ref="Q3:R3"/>
    <mergeCell ref="A1:AF1"/>
    <mergeCell ref="C2:D2"/>
    <mergeCell ref="E2:F2"/>
    <mergeCell ref="G2:R2"/>
    <mergeCell ref="W2:Z2"/>
    <mergeCell ref="AA2:AC2"/>
    <mergeCell ref="AD2:A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showGridLines="0" zoomScaleNormal="100" workbookViewId="0">
      <selection activeCell="O10" sqref="O10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85546875" style="66" bestFit="1" customWidth="1"/>
    <col min="19" max="19" width="4.140625" style="9" customWidth="1"/>
    <col min="20" max="20" width="3.28515625" style="17" customWidth="1"/>
    <col min="21" max="21" width="24.85546875" style="17" customWidth="1"/>
    <col min="22" max="23" width="25.85546875" style="17" bestFit="1" customWidth="1"/>
    <col min="24" max="24" width="8.28515625" style="17" customWidth="1"/>
    <col min="25" max="25" width="2.85546875" style="17" bestFit="1" customWidth="1"/>
    <col min="26" max="26" width="25.85546875" style="17" bestFit="1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16384" width="11.42578125" style="66"/>
  </cols>
  <sheetData>
    <row r="1" spans="1:32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2" x14ac:dyDescent="0.2">
      <c r="A2" s="189"/>
      <c r="B2" s="189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U2" s="194" t="s">
        <v>150</v>
      </c>
      <c r="V2" s="192"/>
      <c r="W2" s="190"/>
      <c r="X2" s="192"/>
      <c r="Y2" s="188"/>
      <c r="Z2" s="188" t="s">
        <v>1</v>
      </c>
      <c r="AA2" s="66"/>
      <c r="AB2" s="66"/>
      <c r="AC2" s="66"/>
      <c r="AD2" s="66"/>
      <c r="AE2" s="66"/>
      <c r="AF2" s="66"/>
    </row>
    <row r="3" spans="1:32" x14ac:dyDescent="0.2">
      <c r="A3" s="187" t="s">
        <v>5</v>
      </c>
      <c r="B3" s="187" t="s">
        <v>6</v>
      </c>
      <c r="C3" s="187" t="s">
        <v>7</v>
      </c>
      <c r="D3" s="187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U3" s="190"/>
      <c r="V3" s="190"/>
      <c r="W3" s="190"/>
      <c r="Y3" s="188" t="s">
        <v>10</v>
      </c>
      <c r="Z3" s="188" t="s">
        <v>11</v>
      </c>
      <c r="AA3" s="66"/>
      <c r="AB3" s="66"/>
      <c r="AC3" s="66"/>
      <c r="AD3" s="66"/>
      <c r="AE3" s="66"/>
      <c r="AF3" s="66"/>
    </row>
    <row r="4" spans="1:32" x14ac:dyDescent="0.2">
      <c r="A4" s="189" t="s">
        <v>361</v>
      </c>
      <c r="B4" s="189" t="s">
        <v>190</v>
      </c>
      <c r="C4" s="187" t="s">
        <v>150</v>
      </c>
      <c r="D4" s="90" t="s">
        <v>152</v>
      </c>
      <c r="E4" s="186">
        <v>3</v>
      </c>
      <c r="F4" s="186">
        <v>0</v>
      </c>
      <c r="G4" s="91">
        <v>25</v>
      </c>
      <c r="H4" s="91">
        <v>21</v>
      </c>
      <c r="I4" s="189">
        <v>25</v>
      </c>
      <c r="J4" s="189">
        <v>16</v>
      </c>
      <c r="K4" s="91">
        <v>25</v>
      </c>
      <c r="L4" s="91">
        <v>17</v>
      </c>
      <c r="M4" s="189">
        <v>0</v>
      </c>
      <c r="N4" s="189">
        <v>0</v>
      </c>
      <c r="O4" s="91">
        <v>0</v>
      </c>
      <c r="P4" s="91">
        <v>0</v>
      </c>
      <c r="Q4" s="189">
        <f>G4+I4+K4+M4+O4</f>
        <v>75</v>
      </c>
      <c r="R4" s="189">
        <f>H4+J4+P4+N4+L4</f>
        <v>54</v>
      </c>
      <c r="U4" s="192"/>
      <c r="V4" s="194" t="s">
        <v>150</v>
      </c>
      <c r="W4" s="190"/>
      <c r="Y4" s="187">
        <v>1</v>
      </c>
      <c r="Z4" s="92" t="s">
        <v>150</v>
      </c>
      <c r="AA4" s="66"/>
      <c r="AB4" s="66"/>
      <c r="AC4" s="66"/>
      <c r="AD4" s="66"/>
      <c r="AE4" s="66"/>
      <c r="AF4" s="66"/>
    </row>
    <row r="5" spans="1:32" x14ac:dyDescent="0.2">
      <c r="A5" s="189" t="s">
        <v>362</v>
      </c>
      <c r="B5" s="189" t="s">
        <v>192</v>
      </c>
      <c r="C5" s="90" t="s">
        <v>153</v>
      </c>
      <c r="D5" s="90" t="s">
        <v>365</v>
      </c>
      <c r="E5" s="186">
        <v>0</v>
      </c>
      <c r="F5" s="186">
        <v>3</v>
      </c>
      <c r="G5" s="91">
        <v>12</v>
      </c>
      <c r="H5" s="91">
        <v>25</v>
      </c>
      <c r="I5" s="189">
        <v>18</v>
      </c>
      <c r="J5" s="189">
        <v>25</v>
      </c>
      <c r="K5" s="91">
        <v>12</v>
      </c>
      <c r="L5" s="91">
        <v>25</v>
      </c>
      <c r="M5" s="189">
        <v>0</v>
      </c>
      <c r="N5" s="189">
        <v>0</v>
      </c>
      <c r="O5" s="91">
        <v>0</v>
      </c>
      <c r="P5" s="91">
        <v>0</v>
      </c>
      <c r="Q5" s="189">
        <f>G5+I5+K5+M5+O5</f>
        <v>42</v>
      </c>
      <c r="R5" s="189">
        <f>H5+J5+P5+N5+L5</f>
        <v>75</v>
      </c>
      <c r="U5" s="192"/>
      <c r="V5" s="192"/>
      <c r="W5" s="190"/>
      <c r="Y5" s="187">
        <v>2</v>
      </c>
      <c r="Z5" s="90" t="s">
        <v>365</v>
      </c>
      <c r="AA5" s="66"/>
      <c r="AB5" s="66"/>
      <c r="AC5" s="66"/>
      <c r="AD5" s="66"/>
      <c r="AE5" s="66"/>
      <c r="AF5" s="66"/>
    </row>
    <row r="6" spans="1:32" x14ac:dyDescent="0.2">
      <c r="A6" s="189" t="s">
        <v>363</v>
      </c>
      <c r="B6" s="189" t="s">
        <v>194</v>
      </c>
      <c r="C6" s="193" t="s">
        <v>152</v>
      </c>
      <c r="D6" s="90" t="s">
        <v>153</v>
      </c>
      <c r="E6" s="186">
        <v>3</v>
      </c>
      <c r="F6" s="186">
        <v>0</v>
      </c>
      <c r="G6" s="91">
        <v>25</v>
      </c>
      <c r="H6" s="91">
        <v>21</v>
      </c>
      <c r="I6" s="189">
        <v>25</v>
      </c>
      <c r="J6" s="189">
        <v>11</v>
      </c>
      <c r="K6" s="91">
        <v>25</v>
      </c>
      <c r="L6" s="91">
        <v>18</v>
      </c>
      <c r="M6" s="189">
        <v>0</v>
      </c>
      <c r="N6" s="189">
        <v>0</v>
      </c>
      <c r="O6" s="91">
        <v>0</v>
      </c>
      <c r="P6" s="91">
        <v>0</v>
      </c>
      <c r="Q6" s="189">
        <f>G6+I6+K6+M6+O6</f>
        <v>75</v>
      </c>
      <c r="R6" s="189">
        <f>H6+J6+P6+N6+L6</f>
        <v>50</v>
      </c>
      <c r="U6" s="193" t="s">
        <v>152</v>
      </c>
      <c r="V6" s="192"/>
      <c r="W6" s="190"/>
      <c r="Y6" s="187">
        <v>3</v>
      </c>
      <c r="Z6" s="90" t="s">
        <v>152</v>
      </c>
      <c r="AA6" s="66"/>
      <c r="AB6" s="66"/>
      <c r="AC6" s="66"/>
      <c r="AD6" s="66"/>
      <c r="AE6" s="66"/>
      <c r="AF6" s="66"/>
    </row>
    <row r="7" spans="1:32" x14ac:dyDescent="0.2">
      <c r="A7" s="189" t="s">
        <v>364</v>
      </c>
      <c r="B7" s="189" t="s">
        <v>196</v>
      </c>
      <c r="C7" s="90" t="s">
        <v>198</v>
      </c>
      <c r="D7" s="92" t="s">
        <v>150</v>
      </c>
      <c r="E7" s="186">
        <v>1</v>
      </c>
      <c r="F7" s="186">
        <v>3</v>
      </c>
      <c r="G7" s="91">
        <v>25</v>
      </c>
      <c r="H7" s="91">
        <v>16</v>
      </c>
      <c r="I7" s="189">
        <v>20</v>
      </c>
      <c r="J7" s="189">
        <v>25</v>
      </c>
      <c r="K7" s="91">
        <v>18</v>
      </c>
      <c r="L7" s="91">
        <v>25</v>
      </c>
      <c r="M7" s="189">
        <v>23</v>
      </c>
      <c r="N7" s="189">
        <v>25</v>
      </c>
      <c r="O7" s="91">
        <v>0</v>
      </c>
      <c r="P7" s="91">
        <v>0</v>
      </c>
      <c r="Q7" s="189">
        <f>G7+I7+K7+M7+O7</f>
        <v>86</v>
      </c>
      <c r="R7" s="189">
        <f>H7+J7+P7+N7+L7</f>
        <v>91</v>
      </c>
      <c r="U7" s="192"/>
      <c r="V7" s="190"/>
      <c r="W7" s="190"/>
      <c r="Y7" s="187">
        <v>4</v>
      </c>
      <c r="Z7" s="90" t="s">
        <v>153</v>
      </c>
      <c r="AA7" s="66"/>
      <c r="AB7" s="66"/>
      <c r="AC7" s="66"/>
      <c r="AD7" s="66"/>
      <c r="AE7" s="66"/>
      <c r="AF7" s="66"/>
    </row>
    <row r="8" spans="1:32" x14ac:dyDescent="0.2">
      <c r="U8" s="190"/>
      <c r="V8" s="192"/>
      <c r="W8" s="194" t="s">
        <v>150</v>
      </c>
    </row>
    <row r="9" spans="1:32" x14ac:dyDescent="0.2">
      <c r="U9" s="192"/>
      <c r="V9" s="190"/>
      <c r="W9" s="190"/>
    </row>
    <row r="10" spans="1:32" x14ac:dyDescent="0.2">
      <c r="U10" s="193" t="s">
        <v>153</v>
      </c>
      <c r="V10" s="192"/>
      <c r="W10" s="190"/>
      <c r="Z10" s="188" t="s">
        <v>360</v>
      </c>
    </row>
    <row r="11" spans="1:32" x14ac:dyDescent="0.2">
      <c r="U11" s="190"/>
      <c r="V11" s="190"/>
      <c r="W11" s="190"/>
      <c r="Z11" s="92" t="s">
        <v>150</v>
      </c>
    </row>
    <row r="12" spans="1:32" x14ac:dyDescent="0.2">
      <c r="U12" s="191"/>
      <c r="V12" s="193" t="s">
        <v>198</v>
      </c>
      <c r="W12" s="190"/>
    </row>
    <row r="13" spans="1:32" x14ac:dyDescent="0.2">
      <c r="U13" s="192"/>
      <c r="V13" s="190"/>
      <c r="W13" s="190"/>
    </row>
    <row r="14" spans="1:32" x14ac:dyDescent="0.2">
      <c r="U14" s="193" t="s">
        <v>198</v>
      </c>
      <c r="V14" s="190"/>
      <c r="W14" s="190"/>
    </row>
  </sheetData>
  <sheetProtection selectLockedCells="1" selectUnlockedCells="1"/>
  <mergeCells count="11">
    <mergeCell ref="O3:P3"/>
    <mergeCell ref="Q3:R3"/>
    <mergeCell ref="A1:AF1"/>
    <mergeCell ref="C2:D2"/>
    <mergeCell ref="E2:F2"/>
    <mergeCell ref="G2:R2"/>
    <mergeCell ref="E3:F3"/>
    <mergeCell ref="G3:H3"/>
    <mergeCell ref="I3:J3"/>
    <mergeCell ref="K3:L3"/>
    <mergeCell ref="M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showGridLines="0" topLeftCell="A2" zoomScaleNormal="100" workbookViewId="0">
      <selection activeCell="A22" sqref="A22"/>
    </sheetView>
  </sheetViews>
  <sheetFormatPr defaultColWidth="11.42578125" defaultRowHeight="12.75" x14ac:dyDescent="0.2"/>
  <cols>
    <col min="1" max="1" width="7.28515625" style="87" bestFit="1" customWidth="1"/>
    <col min="2" max="2" width="11.7109375" style="87" customWidth="1"/>
    <col min="3" max="3" width="25.85546875" style="66" customWidth="1"/>
    <col min="4" max="4" width="26.85546875" style="66" customWidth="1"/>
    <col min="5" max="5" width="2.42578125" style="72" customWidth="1"/>
    <col min="6" max="6" width="2.42578125" style="17" customWidth="1"/>
    <col min="7" max="7" width="3" style="66" customWidth="1"/>
    <col min="8" max="9" width="3" style="17" customWidth="1"/>
    <col min="10" max="10" width="3" style="68" customWidth="1"/>
    <col min="11" max="11" width="3" style="69" customWidth="1"/>
    <col min="12" max="16" width="3" style="66" customWidth="1"/>
    <col min="17" max="17" width="3.42578125" style="66" customWidth="1"/>
    <col min="18" max="18" width="3.5703125" style="66" bestFit="1" customWidth="1"/>
    <col min="19" max="19" width="4.140625" style="9" customWidth="1"/>
    <col min="20" max="20" width="3.28515625" style="17" customWidth="1"/>
    <col min="21" max="21" width="20.140625" style="17" bestFit="1" customWidth="1"/>
    <col min="22" max="22" width="7.28515625" style="17" customWidth="1"/>
    <col min="23" max="23" width="4.85546875" style="17" customWidth="1"/>
    <col min="24" max="25" width="4.42578125" style="17" customWidth="1"/>
    <col min="26" max="26" width="4" style="17" customWidth="1"/>
    <col min="27" max="28" width="4.42578125" style="17" customWidth="1"/>
    <col min="29" max="29" width="4.85546875" style="17" customWidth="1"/>
    <col min="30" max="31" width="4.42578125" style="17" customWidth="1"/>
    <col min="32" max="32" width="4.85546875" style="17" customWidth="1"/>
    <col min="33" max="38" width="3.28515625" style="66" customWidth="1"/>
    <col min="39" max="39" width="11.42578125" style="66"/>
    <col min="40" max="40" width="17.7109375" style="66" bestFit="1" customWidth="1"/>
    <col min="41" max="43" width="19.7109375" style="66" bestFit="1" customWidth="1"/>
    <col min="44" max="16384" width="11.42578125" style="66"/>
  </cols>
  <sheetData>
    <row r="1" spans="1:43" ht="128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43" x14ac:dyDescent="0.2">
      <c r="A2" s="163"/>
      <c r="B2" s="163"/>
      <c r="C2" s="251" t="s">
        <v>0</v>
      </c>
      <c r="D2" s="251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3"/>
      <c r="T2" s="160"/>
      <c r="U2" s="160" t="s">
        <v>1</v>
      </c>
      <c r="V2" s="160" t="s">
        <v>1</v>
      </c>
      <c r="W2" s="253" t="s">
        <v>2</v>
      </c>
      <c r="X2" s="253"/>
      <c r="Y2" s="253"/>
      <c r="Z2" s="253"/>
      <c r="AA2" s="254" t="s">
        <v>4</v>
      </c>
      <c r="AB2" s="254"/>
      <c r="AC2" s="254"/>
      <c r="AD2" s="254" t="s">
        <v>3</v>
      </c>
      <c r="AE2" s="254"/>
      <c r="AF2" s="254"/>
      <c r="AG2" s="254" t="s">
        <v>162</v>
      </c>
      <c r="AH2" s="254"/>
      <c r="AI2" s="254"/>
      <c r="AJ2" s="254"/>
      <c r="AK2" s="254"/>
      <c r="AL2" s="254"/>
      <c r="AN2" s="17"/>
      <c r="AO2" s="194" t="s">
        <v>150</v>
      </c>
      <c r="AP2" s="192"/>
      <c r="AQ2" s="190"/>
    </row>
    <row r="3" spans="1:43" x14ac:dyDescent="0.2">
      <c r="A3" s="162" t="s">
        <v>5</v>
      </c>
      <c r="B3" s="162" t="s">
        <v>6</v>
      </c>
      <c r="C3" s="162" t="s">
        <v>7</v>
      </c>
      <c r="D3" s="162" t="s">
        <v>8</v>
      </c>
      <c r="E3" s="251" t="s">
        <v>4</v>
      </c>
      <c r="F3" s="251"/>
      <c r="G3" s="252">
        <v>1</v>
      </c>
      <c r="H3" s="252"/>
      <c r="I3" s="251">
        <v>2</v>
      </c>
      <c r="J3" s="251"/>
      <c r="K3" s="252">
        <v>3</v>
      </c>
      <c r="L3" s="252"/>
      <c r="M3" s="251">
        <v>4</v>
      </c>
      <c r="N3" s="251"/>
      <c r="O3" s="252">
        <v>5</v>
      </c>
      <c r="P3" s="252"/>
      <c r="Q3" s="251" t="s">
        <v>9</v>
      </c>
      <c r="R3" s="251"/>
      <c r="S3" s="3"/>
      <c r="T3" s="160" t="s">
        <v>10</v>
      </c>
      <c r="U3" s="160" t="s">
        <v>11</v>
      </c>
      <c r="V3" s="160" t="s">
        <v>3</v>
      </c>
      <c r="W3" s="100" t="s">
        <v>9</v>
      </c>
      <c r="X3" s="102" t="s">
        <v>12</v>
      </c>
      <c r="Y3" s="102" t="s">
        <v>13</v>
      </c>
      <c r="Z3" s="160" t="s">
        <v>14</v>
      </c>
      <c r="AA3" s="160" t="s">
        <v>12</v>
      </c>
      <c r="AB3" s="88" t="s">
        <v>13</v>
      </c>
      <c r="AC3" s="160" t="s">
        <v>16</v>
      </c>
      <c r="AD3" s="160" t="s">
        <v>12</v>
      </c>
      <c r="AE3" s="88" t="s">
        <v>13</v>
      </c>
      <c r="AF3" s="160" t="s">
        <v>16</v>
      </c>
      <c r="AG3" s="89" t="s">
        <v>163</v>
      </c>
      <c r="AH3" s="89" t="s">
        <v>164</v>
      </c>
      <c r="AI3" s="89" t="s">
        <v>165</v>
      </c>
      <c r="AJ3" s="89" t="s">
        <v>166</v>
      </c>
      <c r="AK3" s="89" t="s">
        <v>167</v>
      </c>
      <c r="AL3" s="89" t="s">
        <v>168</v>
      </c>
      <c r="AN3" s="17" t="s">
        <v>390</v>
      </c>
      <c r="AO3" s="203" t="s">
        <v>393</v>
      </c>
      <c r="AP3" s="190"/>
      <c r="AQ3" s="190"/>
    </row>
    <row r="4" spans="1:43" x14ac:dyDescent="0.2">
      <c r="A4" s="163" t="s">
        <v>295</v>
      </c>
      <c r="B4" s="163" t="s">
        <v>170</v>
      </c>
      <c r="C4" s="162" t="s">
        <v>150</v>
      </c>
      <c r="D4" s="90" t="s">
        <v>152</v>
      </c>
      <c r="E4" s="154">
        <v>2</v>
      </c>
      <c r="F4" s="154">
        <v>3</v>
      </c>
      <c r="G4" s="91">
        <v>26</v>
      </c>
      <c r="H4" s="91">
        <v>28</v>
      </c>
      <c r="I4" s="163">
        <v>25</v>
      </c>
      <c r="J4" s="163">
        <v>23</v>
      </c>
      <c r="K4" s="91">
        <v>10</v>
      </c>
      <c r="L4" s="91">
        <v>25</v>
      </c>
      <c r="M4" s="163">
        <v>25</v>
      </c>
      <c r="N4" s="163">
        <v>21</v>
      </c>
      <c r="O4" s="91">
        <v>9</v>
      </c>
      <c r="P4" s="91">
        <v>15</v>
      </c>
      <c r="Q4" s="163">
        <f>G4+I4+K4+M4+O4</f>
        <v>95</v>
      </c>
      <c r="R4" s="163">
        <f>H4+J4+L4+N4+P4</f>
        <v>112</v>
      </c>
      <c r="T4" s="162">
        <v>1</v>
      </c>
      <c r="U4" s="170" t="s">
        <v>198</v>
      </c>
      <c r="V4" s="99">
        <f>AG4*3+AH4*3+AI4*2+AJ4*1</f>
        <v>27</v>
      </c>
      <c r="W4" s="104">
        <f>X4+Y4+Z4</f>
        <v>9</v>
      </c>
      <c r="X4" s="104">
        <f>COUNTIF($E$5,"=3")+COUNTIF($F$7,"=3")+COUNTIF($F$8,"=3")+COUNTIF($E$11,"=3")+COUNTIF($F$13,"=3")+COUNTIF($F$14,"=3")+COUNTIF($E$17,"=3")+COUNTIF($F$19,"=3")+COUNTIF($F$20,"=3")</f>
        <v>9</v>
      </c>
      <c r="Y4" s="104">
        <f>SUM(IF($E$5&lt;$F$5,1,0))+SUM(IF($F$7&lt;$E$7,1,0))+SUM(IF($F$8&lt;$E$8,1,0))+SUM(IF($E$11&lt;$F$11,1,0))+SUM(IF($F$13&lt;$E$13,1,0))+SUM(IF($F$14&lt;$E$14,1,0))+SUM(IF($E$17&lt;$F$17,1,0))+SUM(IF($F$19&lt;$E$19,1,0))+SUM(IF($F$20&lt;$E$20,1,0))</f>
        <v>0</v>
      </c>
      <c r="Z4" s="98"/>
      <c r="AA4" s="171">
        <f>$E$5+$F$7+$F$8+$E$11+$F$13+$F$14+$E$17+$F$19+$F$20</f>
        <v>27</v>
      </c>
      <c r="AB4" s="171">
        <f>$F$5+$E$7+$E$8+$F$11+$E$13+$E$14+$F$17+$E$19+$E$20</f>
        <v>6</v>
      </c>
      <c r="AC4" s="163">
        <f>IF(AB4=0,"MAX",AA4/AB4)</f>
        <v>4.5</v>
      </c>
      <c r="AD4" s="171">
        <f>$Q$5+$R$7+$R$8+$Q$11+$R$13+$R$14+$Q$17+$R$19+$R$20</f>
        <v>813</v>
      </c>
      <c r="AE4" s="171">
        <f>$R$5+$Q$7+$Q$8+$R$11+$Q$13+$Q$14+$R$17+$Q$19+$Q$20</f>
        <v>660</v>
      </c>
      <c r="AF4" s="163">
        <f>IF(AE4=0,"MAX",AD4/AE4)</f>
        <v>1.2318181818181819</v>
      </c>
      <c r="AG4" s="163">
        <f>SUM(IF(AND($E$5=3,$F$5=0),1,0))+SUM(IF(AND($F$7=3,$E$7=0),1,0)) +SUM(IF(AND($F$8=3,$E$8=0),1,0))+SUM(IF(AND($E$11=3,$F$11=0),1,0))+SUM(IF(AND($F$13=3,$E$13=0),1,0))+SUM(IF(AND($F$14=3,$E$14=0),1,0))+SUM(IF(AND($E$17=3,$F$17=0),1,0))+SUM(IF(AND($F$19=3,$E$19=0),1,0))+SUM(IF(AND($F$20=3,$E$20=0),1,0))</f>
        <v>3</v>
      </c>
      <c r="AH4" s="171">
        <f>SUM(IF(AND($E$5=3,$F$5=1),1,0))+SUM(IF(AND($F$7=3,$E$7=1),1,0)) +SUM(IF(AND($F$8=3,$E$8=1),1,0))+SUM(IF(AND($E$11=3,$F$11=1),1,0))+SUM(IF(AND($F$13=3,$E$13=1),1,0))+SUM(IF(AND($F$14=3,$E$14=1),1,0))+SUM(IF(AND($E$17=3,$F$17=1),1,0))+SUM(IF(AND($F$19=3,$E$19=1),1,0))+SUM(IF(AND($F$20=3,$E$20=1),1,0))</f>
        <v>6</v>
      </c>
      <c r="AI4" s="171">
        <f>SUM(IF(AND($E$5=3,$F$5=2),1,0))+SUM(IF(AND($F$7=3,$E$7=2),1,0)) +SUM(IF(AND($F$8=3,$E$8=2),1,0))+SUM(IF(AND($E$11=3,$F$11=2),1,0))+SUM(IF(AND($F$13=3,$E$13=2),1,0))+SUM(IF(AND($F$14=3,$E$14=2),1,0))+SUM(IF(AND($E$17=3,$F$17=2),1,0))+SUM(IF(AND($F$19=3,$E$19=2),1,0))+SUM(IF(AND($F$20=3,$E$20=2),1,0))</f>
        <v>0</v>
      </c>
      <c r="AJ4" s="171">
        <f>SUM(IF(AND($E$5=2,$F$5=3),1,0))+SUM(IF(AND($F$7=2,$E$7=3),1,0)) +SUM(IF(AND($F$8=2,$E$8=3),1,0))+SUM(IF(AND($E$11=2,$F$11=3),1,0))+SUM(IF(AND($F$13=2,$E$13=3),1,0))+SUM(IF(AND($F$14=2,$E$14=3),1,0))+SUM(IF(AND($E$17=2,$F$17=3),1,0))+SUM(IF(AND($F$19=2,$E$19=3),1,0))+SUM(IF(AND($F$20=2,$E$20=3),1,0))</f>
        <v>0</v>
      </c>
      <c r="AK4" s="171">
        <f>SUM(IF(AND($E$5=1,$F$5=3),1,0))+SUM(IF(AND($F$7=1,$E$7=3),1,0)) +SUM(IF(AND($F$8=1,$E$8=3),1,0))+SUM(IF(AND($E$11=1,$F$11=3),1,0))+SUM(IF(AND($F$13=1,$E$13=3),1,0))+SUM(IF(AND($F$14=1,$E$14=3),1,0))+SUM(IF(AND($E$17=1,$F$17=3),1,0))+SUM(IF(AND($F$19=1,$E$19=3),1,0))+SUM(IF(AND($F$20=1,$E$20=3),1,0))</f>
        <v>0</v>
      </c>
      <c r="AL4" s="171">
        <f>SUM(IF(AND($E$5=0,$F$5=3),1,0))+SUM(IF(AND($F$7=0,$E$7=3),1,0)) +SUM(IF(AND($F$8=0,$E$8=3),1,0))+SUM(IF(AND($E$11=0,$F$11=3),1,0))+SUM(IF(AND($F$13=0,$E$13=3),1,0))+SUM(IF(AND($F$14=0,$E$14=3),1,0))+SUM(IF(AND($E$17=0,$F$17=3),1,0))+SUM(IF(AND($F$19=0,$E$19=3),1,0))+SUM(IF(AND($F$20=0,$E$20=3),1,0))</f>
        <v>0</v>
      </c>
      <c r="AN4" s="17" t="s">
        <v>391</v>
      </c>
      <c r="AO4" s="211" t="s">
        <v>395</v>
      </c>
      <c r="AP4" s="193" t="s">
        <v>152</v>
      </c>
      <c r="AQ4" s="190"/>
    </row>
    <row r="5" spans="1:43" x14ac:dyDescent="0.2">
      <c r="A5" s="163" t="s">
        <v>296</v>
      </c>
      <c r="B5" s="163" t="s">
        <v>170</v>
      </c>
      <c r="C5" s="90" t="s">
        <v>198</v>
      </c>
      <c r="D5" s="90" t="s">
        <v>153</v>
      </c>
      <c r="E5" s="154">
        <v>3</v>
      </c>
      <c r="F5" s="154">
        <v>0</v>
      </c>
      <c r="G5" s="91">
        <v>25</v>
      </c>
      <c r="H5" s="91">
        <v>16</v>
      </c>
      <c r="I5" s="163">
        <v>25</v>
      </c>
      <c r="J5" s="163">
        <v>19</v>
      </c>
      <c r="K5" s="91">
        <v>25</v>
      </c>
      <c r="L5" s="91">
        <v>18</v>
      </c>
      <c r="M5" s="163">
        <v>0</v>
      </c>
      <c r="N5" s="163">
        <v>0</v>
      </c>
      <c r="O5" s="91">
        <v>0</v>
      </c>
      <c r="P5" s="91">
        <v>0</v>
      </c>
      <c r="Q5" s="163">
        <f t="shared" ref="Q5:Q21" si="0">G5+I5+K5+M5+O5</f>
        <v>75</v>
      </c>
      <c r="R5" s="163">
        <f t="shared" ref="R5:R21" si="1">H5+J5+L5+N5+P5</f>
        <v>53</v>
      </c>
      <c r="T5" s="162">
        <v>2</v>
      </c>
      <c r="U5" s="198" t="s">
        <v>152</v>
      </c>
      <c r="V5" s="99">
        <f>AG5*3+AH5*3+AI5*2+AJ5*1</f>
        <v>14</v>
      </c>
      <c r="W5" s="104">
        <f>X5+Y5+Z5</f>
        <v>9</v>
      </c>
      <c r="X5" s="104">
        <f>COUNTIF($F$4,"=3")+COUNTIF($E$7,"=3")+COUNTIF($E$9,"=3")+COUNTIF($F$10,"=3")+COUNTIF($E$13,"=3")+COUNTIF($E$15,"=3")+COUNTIF($F$16,"=3")+COUNTIF($E$19,"=3")+COUNTIF($E$21,"=3")</f>
        <v>5</v>
      </c>
      <c r="Y5" s="104">
        <f>SUM(IF($F$4&lt;$E$4,1,0))+SUM(IF($E$7&lt;$F$7,1,0))+SUM(IF($E$9&lt;$F$9,1,0))+SUM(IF($F$10&lt;$E$10,1,0))+SUM(IF($E$13&lt;$F$13,1,0))+SUM(IF($E$15&lt;$F$15,1,0))+SUM(IF($F$16&lt;$E$16,1,0))+SUM(IF($E$19&lt;$F$19,1,0))+SUM(IF($E$21&lt;$F$21,1,0))</f>
        <v>4</v>
      </c>
      <c r="Z5" s="98"/>
      <c r="AA5" s="199">
        <f>$F$4+$E$7+$E$9+$F$10+$E$13+$E$15+$F$16+$E$19+$E$21</f>
        <v>18</v>
      </c>
      <c r="AB5" s="199">
        <f>$E$4+$F$7+$F$9+$E$10+$F$13+$F$15+$E$16+$F$19+$F$21</f>
        <v>16</v>
      </c>
      <c r="AC5" s="163">
        <f>IF(AB5=0,"MAX",AA5/AB5)</f>
        <v>1.125</v>
      </c>
      <c r="AD5" s="199">
        <f>$R$4+$Q$7+$Q$9+$R$10+$Q$13+$Q$15+$R$16+$Q$19+$Q$21</f>
        <v>765</v>
      </c>
      <c r="AE5" s="199">
        <f>$Q$4+$R$7+$R$9+$Q$10+$R$13+$Q$15+$Q$16+$R$19+$R$21</f>
        <v>734</v>
      </c>
      <c r="AF5" s="163">
        <f>IF(AE5=0,"MAX",AD5/AE5)</f>
        <v>1.042234332425068</v>
      </c>
      <c r="AG5" s="171">
        <f>SUM(IF(AND($F$4=3,$E$4=0),1,0))+SUM(IF(AND($E$7=3,$F$7=0),1,0)) +SUM(IF(AND($E$9=3,$F$9=0),1,0))+SUM(IF(AND($F$10=3,$E$10=0),1,0))+SUM(IF(AND($E$13=3,$F$13=0),1,0))+SUM(IF(AND($E$15=3,$F$15=0),1,0))+SUM(IF(AND($F$16=3,$E$16=0),1,0))+SUM(IF(AND($E$19=3,$F$19=0),1,0))+SUM(IF(AND($E$21=3,$F$21=0),1,0))</f>
        <v>2</v>
      </c>
      <c r="AH5" s="171">
        <f>SUM(IF(AND($F$4=3,$E$4=1),1,0))+SUM(IF(AND($E$7=3,$F$7=1),1,0)) +SUM(IF(AND($E$9=3,$F$9=1),1,0))+SUM(IF(AND($F$10=3,$E$10=1),1,0))+SUM(IF(AND($E$13=3,$F$13=1),1,0))+SUM(IF(AND($E$15=3,$F$15=1),1,0))+SUM(IF(AND($F$16=3,$E$16=1),1,0))+SUM(IF(AND($E$19=3,$F$19=1),1,0))+SUM(IF(AND($E$21=3,$F$21=1),1,0))</f>
        <v>2</v>
      </c>
      <c r="AI5" s="171">
        <f>SUM(IF(AND($F$4=3,$E$4=2),1,0))+SUM(IF(AND($E$7=3,$F$7=2),1,0)) +SUM(IF(AND($E$9=3,$F$9=2),1,0))+SUM(IF(AND($F$10=3,$E$10=2),1,0))+SUM(IF(AND($E$13=3,$F$13=2),1,0))+SUM(IF(AND($E$15=3,$F$15=2),1,0))+SUM(IF(AND($F$16=3,$E$16=2),1,0))+SUM(IF(AND($E$19=3,$F$19=2),1,0))+SUM(IF(AND($E$21=3,$F$21=2),1,0))</f>
        <v>1</v>
      </c>
      <c r="AJ5" s="171">
        <f>SUM(IF(AND($F$4=2,$E$4=3),1,0))+SUM(IF(AND($E$7=2,$F$7=3),1,0)) +SUM(IF(AND($E$9=2,$F$9=3),1,0))+SUM(IF(AND($F$10=2,$E$10=3),1,0))+SUM(IF(AND($E$13=2,$F$13=3),1,0))+SUM(IF(AND($E$15=2,$F$15=3),1,0))+SUM(IF(AND($F$16=2,$E$16=3),1,0))+SUM(IF(AND($E$19=2,$F$19=3),1,0))+SUM(IF(AND($E$21=2,$F$21=3),1,0))</f>
        <v>0</v>
      </c>
      <c r="AK5" s="171">
        <f>SUM(IF(AND($F$4=1,$E$4=3),1,0))+SUM(IF(AND($E$7=1,$F$7=3),1,0)) +SUM(IF(AND($E$9=1,$F$9=3),1,0))+SUM(IF(AND($F$10=1,$E$10=3),1,0))+SUM(IF(AND($E$13=1,$F$13=3),1,0))+SUM(IF(AND($E$15=1,$F$15=3),1,0))+SUM(IF(AND($F$16=1,$E$16=3),1,0))+SUM(IF(AND($E$19=1,$F$19=3),1,0))+SUM(IF(AND($E$21=1,$F$21=3),1,0))</f>
        <v>3</v>
      </c>
      <c r="AL5" s="171">
        <f>SUM(IF(AND($F$4=0,$E$4=3),1,0))+SUM(IF(AND($E$7=0,$F$7=3),1,0)) +SUM(IF(AND($E$9=0,$F$9=3),1,0))+SUM(IF(AND($F$10=0,$E$10=3),1,0))+SUM(IF(AND($E$13=0,$F$13=3),1,0))+SUM(IF(AND($E$15=0,$F$15=3),1,0))+SUM(IF(AND($F$16=0,$E$16=3),1,0))+SUM(IF(AND($E$19=0,$F$19=3),1,0))+SUM(IF(AND($E$21=0,$F$21=3),1,0))</f>
        <v>1</v>
      </c>
      <c r="AN5" s="17" t="s">
        <v>392</v>
      </c>
      <c r="AO5" s="211" t="s">
        <v>398</v>
      </c>
      <c r="AP5" s="192"/>
      <c r="AQ5" s="190"/>
    </row>
    <row r="6" spans="1:43" x14ac:dyDescent="0.2">
      <c r="A6" s="163" t="s">
        <v>297</v>
      </c>
      <c r="B6" s="163" t="s">
        <v>170</v>
      </c>
      <c r="C6" s="162" t="s">
        <v>153</v>
      </c>
      <c r="D6" s="90" t="s">
        <v>150</v>
      </c>
      <c r="E6" s="154">
        <v>0</v>
      </c>
      <c r="F6" s="154">
        <v>3</v>
      </c>
      <c r="G6" s="91">
        <v>22</v>
      </c>
      <c r="H6" s="91">
        <v>25</v>
      </c>
      <c r="I6" s="163">
        <v>13</v>
      </c>
      <c r="J6" s="163">
        <v>25</v>
      </c>
      <c r="K6" s="91">
        <v>24</v>
      </c>
      <c r="L6" s="91">
        <v>26</v>
      </c>
      <c r="M6" s="163">
        <v>0</v>
      </c>
      <c r="N6" s="163">
        <v>0</v>
      </c>
      <c r="O6" s="91">
        <v>0</v>
      </c>
      <c r="P6" s="91">
        <v>0</v>
      </c>
      <c r="Q6" s="163">
        <f t="shared" si="0"/>
        <v>59</v>
      </c>
      <c r="R6" s="163">
        <f t="shared" si="1"/>
        <v>76</v>
      </c>
      <c r="T6" s="162">
        <v>3</v>
      </c>
      <c r="U6" s="194" t="s">
        <v>150</v>
      </c>
      <c r="V6" s="99">
        <f>AG6*3+AH6*3+AI6*2+AJ6*1</f>
        <v>13</v>
      </c>
      <c r="W6" s="104">
        <f>X6+Y6+Z6</f>
        <v>9</v>
      </c>
      <c r="X6" s="104">
        <f>COUNTIF($E$4,"=3")+COUNTIF($F$6,"=3")+COUNTIF($E$8,"=3")+COUNTIF($E$10,"=3")+COUNTIF($F$12,"=3")+COUNTIF($E$14,"=3")+COUNTIF($E$16,"=3")+COUNTIF($F$18,"=3")+COUNTIF($E$20,"=3")</f>
        <v>4</v>
      </c>
      <c r="Y6" s="103">
        <f>SUM(IF($E$4&lt;$F$4,1,0))+SUM(IF($F$6&lt;$E$6,1,0))+SUM(IF($E$8&lt;$F$8,1,0))+SUM(IF($E$10&lt;$F$10,1,0))+SUM(IF($F$12&lt;$E$12,1,0))+SUM(IF($E$14&lt;$F$14,1,0))+SUM(IF($E$16&lt;$F$16,1,0))+SUM(IF($F$18&lt;$E$18,1,0))+SUM(IF($E$20&lt;$F$20,1,0))</f>
        <v>5</v>
      </c>
      <c r="Z6" s="101"/>
      <c r="AA6" s="103">
        <f>$E$4+$F$6+$E$8+$E$10+$F$12+$E$14+$E$16+$F$18+$E$20</f>
        <v>17</v>
      </c>
      <c r="AB6" s="103">
        <f>$F$4+$E$6+$F$8+$F$10+$E$12+$F$14+$F$16+$E$18+$F$20</f>
        <v>16</v>
      </c>
      <c r="AC6" s="163">
        <f>IF(AB6=0,"MAX",AA6/AB6)</f>
        <v>1.0625</v>
      </c>
      <c r="AD6" s="103">
        <f>$Q$4+$R$6+$Q$8+$Q$10+$R$12+$Q$14+$Q$16+$R$18+$Q$20</f>
        <v>728</v>
      </c>
      <c r="AE6" s="103">
        <f>$R$4+$Q$6+$R$8+$R$10+$Q$12+$R$14+$R$16+$Q$18+$R$20</f>
        <v>753</v>
      </c>
      <c r="AF6" s="163">
        <f>IF(AE6=0,"MAX",AD6/AE6)</f>
        <v>0.96679946879150069</v>
      </c>
      <c r="AG6" s="171">
        <f>SUM(IF(AND($E$4=3,$F$4=0),1,0))+SUM(IF(AND($F$6=3,$E$6=0),1,0)) +SUM(IF(AND($E$8=3,$F$8=0),1,0))+SUM(IF(AND($E$10=3,$F$10=0),1,0))+SUM(IF(AND($F$12=3,$E$12=0),1,0))+SUM(IF(AND($E$14=3,$F$14=0),1,0))+SUM(IF(AND($E$16=3,$F$16=0),1,0))+SUM(IF(AND($F$18=3,$E$18=0),1,0))+SUM(IF(AND($E$20=3,$F$20=0),1,0))</f>
        <v>3</v>
      </c>
      <c r="AH6" s="171">
        <f>SUM(IF(AND($E$4=3,$F$4=1),1,0))+SUM(IF(AND($F$6=3,$E$6=1),1,0)) +SUM(IF(AND($E$8=3,$F$8=1),1,0))+SUM(IF(AND($E$10=3,$F$10=1),1,0))+SUM(IF(AND($F$12=3,$E$12=1),1,0))+SUM(IF(AND($E$14=3,$F$14=1),1,0))+SUM(IF(AND($E$16=3,$F$16=1),1,0))+SUM(IF(AND($F$18=3,$E$18=1),1,0))+SUM(IF(AND($E$20=3,$F$20=1),1,0))</f>
        <v>1</v>
      </c>
      <c r="AI6" s="171">
        <f>SUM(IF(AND($E$4=3,$F$4=2),1,0))+SUM(IF(AND($F$6=3,$E$6=2),1,0)) +SUM(IF(AND($E$8=3,$F$8=2),1,0))+SUM(IF(AND($E$10=3,$F$10=2),1,0))+SUM(IF(AND($F$12=3,$E$12=2),1,0))+SUM(IF(AND($E$14=3,$F$14=2),1,0))+SUM(IF(AND($E$16=3,$F$16=2),1,0))+SUM(IF(AND($F$18=3,$E$18=2),1,0))+SUM(IF(AND($E$20=3,$F$20=2),1,0))</f>
        <v>0</v>
      </c>
      <c r="AJ6" s="171">
        <f>SUM(IF(AND($E$4=2,$F$4=3),1,0))+SUM(IF(AND($F$6=2,$E$6=3),1,0)) +SUM(IF(AND($E$8=2,$F$8=3),1,0))+SUM(IF(AND($E$10=2,$F$10=3),1,0))+SUM(IF(AND($F$12=2,$E$12=3),1,0))+SUM(IF(AND($E$14=2,$F$14=3),1,0))+SUM(IF(AND($E$16=2,$F$16=3),1,0))+SUM(IF(AND($F$18=2,$E$18=3),1,0))+SUM(IF(AND($E$20=2,$F$20=3),1,0))</f>
        <v>1</v>
      </c>
      <c r="AK6" s="171">
        <f>SUM(IF(AND($E$4=1,$F$4=3),1,0))+SUM(IF(AND($F$6=1,$E$6=3),1,0)) +SUM(IF(AND($E$8=1,$F$8=3),1,0))+SUM(IF(AND($E$10=1,$F$10=3),1,0))+SUM(IF(AND($F$12=1,$E$12=3),1,0))+SUM(IF(AND($E$14=1,$F$14=3),1,0))+SUM(IF(AND($E$16=1,$F$16=3),1,0))+SUM(IF(AND($F$18=1,$E$18=3),1,0))+SUM(IF(AND($E$20=1,$F$20=3),1,0))</f>
        <v>3</v>
      </c>
      <c r="AL6" s="171">
        <f>SUM(IF(AND($E$4=0,$F$4=3),1,0))+SUM(IF(AND($F$6=0,$E$6=3),1,0)) +SUM(IF(AND($E$8=0,$F$8=3),1,0))+SUM(IF(AND($E$10=0,$F$10=3),1,0))+SUM(IF(AND($F$12=0,$E$12=3),1,0))+SUM(IF(AND($E$14=0,$F$14=3),1,0))+SUM(IF(AND($E$16=0,$F$16=3),1,0))+SUM(IF(AND($F$18=0,$E$18=3),1,0))+SUM(IF(AND($E$20=0,$F$20=3),1,0))</f>
        <v>1</v>
      </c>
      <c r="AN6" s="17"/>
      <c r="AO6" s="193" t="s">
        <v>152</v>
      </c>
      <c r="AP6" s="192"/>
      <c r="AQ6" s="190"/>
    </row>
    <row r="7" spans="1:43" x14ac:dyDescent="0.2">
      <c r="A7" s="163" t="s">
        <v>298</v>
      </c>
      <c r="B7" s="163" t="s">
        <v>170</v>
      </c>
      <c r="C7" s="90" t="s">
        <v>152</v>
      </c>
      <c r="D7" s="92" t="s">
        <v>198</v>
      </c>
      <c r="E7" s="154">
        <v>1</v>
      </c>
      <c r="F7" s="154">
        <v>3</v>
      </c>
      <c r="G7" s="91">
        <v>17</v>
      </c>
      <c r="H7" s="91">
        <v>25</v>
      </c>
      <c r="I7" s="163">
        <v>24</v>
      </c>
      <c r="J7" s="163">
        <v>26</v>
      </c>
      <c r="K7" s="91">
        <v>25</v>
      </c>
      <c r="L7" s="91">
        <v>21</v>
      </c>
      <c r="M7" s="163">
        <v>15</v>
      </c>
      <c r="N7" s="163">
        <v>25</v>
      </c>
      <c r="O7" s="91">
        <v>0</v>
      </c>
      <c r="P7" s="91">
        <v>0</v>
      </c>
      <c r="Q7" s="163">
        <f t="shared" si="0"/>
        <v>81</v>
      </c>
      <c r="R7" s="163">
        <f t="shared" si="1"/>
        <v>97</v>
      </c>
      <c r="T7" s="162">
        <v>4</v>
      </c>
      <c r="U7" s="162" t="s">
        <v>153</v>
      </c>
      <c r="V7" s="99">
        <f>AG7*3+AH7*3+AI7*2+AJ7*1</f>
        <v>0</v>
      </c>
      <c r="W7" s="104">
        <f>X7+Y7+Z7</f>
        <v>9</v>
      </c>
      <c r="X7" s="104">
        <f>COUNTIF($F$5,"=3")+COUNTIF($E$6,"=3")+COUNTIF($F$9,"=3")+COUNTIF($F$11,"=3")+COUNTIF($E$12,"=3")+COUNTIF($F$15,"=3")+COUNTIF($F$17,"=3")+COUNTIF($E$18,"=3")+COUNTIF($F$21,"=3")</f>
        <v>0</v>
      </c>
      <c r="Y7" s="104">
        <f>SUM(IF($F$5&lt;$E$5,1,0))+SUM(IF($E$6&lt;$F$6,1,0))+SUM(IF($F$9&lt;$E$9,1,0))+SUM(IF($F$11&lt;$E$11,1,0))+SUM(IF($E$12&lt;$F$12,1,0))+SUM(IF($F$15&lt;$E$15,1,0))+SUM(IF($F$17&lt;$E$17,1,0))+SUM(IF($E$18&lt;$F$18,1,0))+SUM(IF($F$21&lt;$E$21,1,0))</f>
        <v>9</v>
      </c>
      <c r="Z7" s="98"/>
      <c r="AA7" s="104">
        <f>$F$5+$E$6+$F$9+$F$11+$E$12+$F$15+$F$17+$E$18+$F$21</f>
        <v>3</v>
      </c>
      <c r="AB7" s="104">
        <f>$E$5+$F$6+$E$9+$E$11+$F$12+$E$15+$E$17+$F$18+$E$21</f>
        <v>27</v>
      </c>
      <c r="AC7" s="163">
        <f>IF(AB7=0,"MAX",AA7/AB7)</f>
        <v>0.1111111111111111</v>
      </c>
      <c r="AD7" s="104">
        <f>$R$5+$Q$6+$R$9+$R$11+$Q$12+$R$15+$R$17+$Q$18+$R$21</f>
        <v>568</v>
      </c>
      <c r="AE7" s="104">
        <f>$Q$5+$R$6+$Q$9+$Q$11+$R$12+$Q$15+$Q$17+$R$18+$Q$21</f>
        <v>751</v>
      </c>
      <c r="AF7" s="163">
        <f>IF(AE7=0,"MAX",AD7/AE7)</f>
        <v>0.75632490013315579</v>
      </c>
      <c r="AG7" s="171">
        <f>SUM(IF(AND($F$5=3,$E$5=0),1,0))+SUM(IF(AND($E$6=3,$F$6=0),1,0)) +SUM(IF(AND($F$9=3,$E$9=0),1,0))+SUM(IF(AND($F$11=3,$E$11=0),1,0))+SUM(IF(AND($E$12=3,$F$12=0),1,0))+SUM(IF(AND($F$15=3,$E$15=0),1,0))+SUM(IF(AND($F$17=3,$E$17=0),1,0))+SUM(IF(AND($E$18=3,$F$18=0),1,0))+SUM(IF(AND($F$21=3,$E$21=0),1,0))</f>
        <v>0</v>
      </c>
      <c r="AH7" s="171">
        <f>SUM(IF(AND($F$5=3,$E$5=1),1,0))+SUM(IF(AND($E$6=3,$F$6=1),1,0)) +SUM(IF(AND($F$9=3,$E$9=1),1,0))+SUM(IF(AND($F$11=3,$E$11=1),1,0))+SUM(IF(AND($E$12=3,$F$12=1),1,0))+SUM(IF(AND($F$15=3,$E$15=1),1,0))+SUM(IF(AND($F$17=3,$E$17=1),1,0))+SUM(IF(AND($E$18=3,$F$18=1),1,0))+SUM(IF(AND($F$21=3,$E$21=1),1,0))</f>
        <v>0</v>
      </c>
      <c r="AI7" s="171">
        <f>SUM(IF(AND($F$5=3,$E$5=2),1,0))+SUM(IF(AND($E$6=3,$F$6=2),1,0)) +SUM(IF(AND($F$9=3,$E$9=2),1,0))+SUM(IF(AND($F$11=3,$E$11=2),1,0))+SUM(IF(AND($E$12=3,$F$12=2),1,0))+SUM(IF(AND($F$15=3,$E$15=2),1,0))+SUM(IF(AND($F$17=3,$E$17=2),1,0))+SUM(IF(AND($E$18=3,$F$18=2),1,0))+SUM(IF(AND($F$21=3,$E$21=2),1,0))</f>
        <v>0</v>
      </c>
      <c r="AJ7" s="171">
        <f>SUM(IF(AND($F$5=2,$E$5=3),1,0))+SUM(IF(AND($E$6=2,$F$6=3),1,0)) +SUM(IF(AND($F$9=2,$E$9=3),1,0))+SUM(IF(AND($F$11=2,$E$11=3),1,0))+SUM(IF(AND($E$12=2,$F$12=3),1,0))+SUM(IF(AND($F$15=2,$E$15=3),1,0))+SUM(IF(AND($F$17=2,$E$17=3),1,0))+SUM(IF(AND($E$18=2,$F$18=3),1,0))+SUM(IF(AND($F$21=2,$E$21=3),1,0))</f>
        <v>0</v>
      </c>
      <c r="AK7" s="171">
        <f>SUM(IF(AND($F$5=1,$E$5=3),1,0))+SUM(IF(AND($E$6=1,$F$6=3),1,0)) +SUM(IF(AND($F$9=1,$E$9=3),1,0))+SUM(IF(AND($F$11=1,$E$11=3),1,0))+SUM(IF(AND($E$12=1,$F$12=3),1,0))+SUM(IF(AND($F$15=1,$E$15=3),1,0))+SUM(IF(AND($F$17=1,$E$17=3),1,0))+SUM(IF(AND($E$18=1,$F$18=3),1,0))+SUM(IF(AND($F$21=1,$E$21=3),1,0))</f>
        <v>3</v>
      </c>
      <c r="AL7" s="171">
        <f>SUM(IF(AND($F$5=0,$E$5=3),1,0))+SUM(IF(AND($E$6=0,$F$6=3),1,0)) +SUM(IF(AND($F$9=0,$E$9=3),1,0))+SUM(IF(AND($F$11=0,$E$11=3),1,0))+SUM(IF(AND($E$12=0,$F$12=3),1,0))+SUM(IF(AND($F$15=0,$E$15=3),1,0))+SUM(IF(AND($F$17=0,$E$17=3),1,0))+SUM(IF(AND($E$18=0,$F$18=3),1,0))+SUM(IF(AND($F$21=0,$E$21=3),1,0))</f>
        <v>6</v>
      </c>
      <c r="AN7" s="17"/>
      <c r="AO7" s="192"/>
      <c r="AP7" s="1" t="s">
        <v>399</v>
      </c>
      <c r="AQ7" s="190"/>
    </row>
    <row r="8" spans="1:43" x14ac:dyDescent="0.2">
      <c r="A8" s="163" t="s">
        <v>299</v>
      </c>
      <c r="B8" s="163" t="s">
        <v>170</v>
      </c>
      <c r="C8" s="90" t="s">
        <v>150</v>
      </c>
      <c r="D8" s="92" t="s">
        <v>198</v>
      </c>
      <c r="E8" s="154">
        <v>1</v>
      </c>
      <c r="F8" s="154">
        <v>3</v>
      </c>
      <c r="G8" s="91">
        <v>25</v>
      </c>
      <c r="H8" s="91">
        <v>22</v>
      </c>
      <c r="I8" s="163">
        <v>15</v>
      </c>
      <c r="J8" s="163">
        <v>25</v>
      </c>
      <c r="K8" s="91">
        <v>14</v>
      </c>
      <c r="L8" s="91">
        <v>25</v>
      </c>
      <c r="M8" s="163">
        <v>21</v>
      </c>
      <c r="N8" s="163">
        <v>25</v>
      </c>
      <c r="O8" s="91">
        <v>0</v>
      </c>
      <c r="P8" s="91">
        <v>0</v>
      </c>
      <c r="Q8" s="163">
        <f t="shared" si="0"/>
        <v>75</v>
      </c>
      <c r="R8" s="163">
        <f t="shared" si="1"/>
        <v>97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N8" s="17"/>
      <c r="AO8" s="190"/>
      <c r="AP8" s="211" t="s">
        <v>418</v>
      </c>
      <c r="AQ8" s="193" t="s">
        <v>198</v>
      </c>
    </row>
    <row r="9" spans="1:43" x14ac:dyDescent="0.2">
      <c r="A9" s="163" t="s">
        <v>300</v>
      </c>
      <c r="B9" s="163" t="s">
        <v>170</v>
      </c>
      <c r="C9" s="90" t="s">
        <v>152</v>
      </c>
      <c r="D9" s="92" t="s">
        <v>153</v>
      </c>
      <c r="E9" s="154">
        <v>3</v>
      </c>
      <c r="F9" s="154">
        <v>1</v>
      </c>
      <c r="G9" s="91">
        <v>21</v>
      </c>
      <c r="H9" s="91">
        <v>25</v>
      </c>
      <c r="I9" s="163">
        <v>25</v>
      </c>
      <c r="J9" s="163">
        <v>12</v>
      </c>
      <c r="K9" s="91">
        <v>25</v>
      </c>
      <c r="L9" s="91">
        <v>15</v>
      </c>
      <c r="M9" s="163">
        <v>25</v>
      </c>
      <c r="N9" s="163">
        <v>23</v>
      </c>
      <c r="O9" s="91">
        <v>0</v>
      </c>
      <c r="P9" s="91">
        <v>0</v>
      </c>
      <c r="Q9" s="163">
        <f t="shared" si="0"/>
        <v>96</v>
      </c>
      <c r="R9" s="163">
        <f t="shared" si="1"/>
        <v>75</v>
      </c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N9" s="17"/>
      <c r="AO9" s="192"/>
      <c r="AP9" s="190"/>
      <c r="AQ9" s="190"/>
    </row>
    <row r="10" spans="1:43" x14ac:dyDescent="0.2">
      <c r="A10" s="163" t="s">
        <v>301</v>
      </c>
      <c r="B10" s="163" t="s">
        <v>265</v>
      </c>
      <c r="C10" s="162" t="s">
        <v>150</v>
      </c>
      <c r="D10" s="90" t="s">
        <v>152</v>
      </c>
      <c r="E10" s="154">
        <v>1</v>
      </c>
      <c r="F10" s="154">
        <v>3</v>
      </c>
      <c r="G10" s="91">
        <v>19</v>
      </c>
      <c r="H10" s="91">
        <v>25</v>
      </c>
      <c r="I10" s="163">
        <v>25</v>
      </c>
      <c r="J10" s="163">
        <v>23</v>
      </c>
      <c r="K10" s="91">
        <v>24</v>
      </c>
      <c r="L10" s="91">
        <v>26</v>
      </c>
      <c r="M10" s="163">
        <v>16</v>
      </c>
      <c r="N10" s="163">
        <v>25</v>
      </c>
      <c r="O10" s="91">
        <v>0</v>
      </c>
      <c r="P10" s="91">
        <v>0</v>
      </c>
      <c r="Q10" s="163">
        <f t="shared" si="0"/>
        <v>84</v>
      </c>
      <c r="R10" s="163">
        <f t="shared" si="1"/>
        <v>99</v>
      </c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N10" s="17"/>
      <c r="AO10" s="193" t="s">
        <v>153</v>
      </c>
      <c r="AP10" s="192"/>
      <c r="AQ10" s="190"/>
    </row>
    <row r="11" spans="1:43" x14ac:dyDescent="0.2">
      <c r="A11" s="163" t="s">
        <v>302</v>
      </c>
      <c r="B11" s="163" t="s">
        <v>265</v>
      </c>
      <c r="C11" s="90" t="s">
        <v>198</v>
      </c>
      <c r="D11" s="90" t="s">
        <v>153</v>
      </c>
      <c r="E11" s="154">
        <v>3</v>
      </c>
      <c r="F11" s="154">
        <v>1</v>
      </c>
      <c r="G11" s="91">
        <v>21</v>
      </c>
      <c r="H11" s="91">
        <v>25</v>
      </c>
      <c r="I11" s="163">
        <v>25</v>
      </c>
      <c r="J11" s="163">
        <v>19</v>
      </c>
      <c r="K11" s="91">
        <v>25</v>
      </c>
      <c r="L11" s="91">
        <v>21</v>
      </c>
      <c r="M11" s="163">
        <v>25</v>
      </c>
      <c r="N11" s="163">
        <v>19</v>
      </c>
      <c r="O11" s="91">
        <v>0</v>
      </c>
      <c r="P11" s="91">
        <v>0</v>
      </c>
      <c r="Q11" s="163">
        <f t="shared" si="0"/>
        <v>96</v>
      </c>
      <c r="R11" s="163">
        <f t="shared" si="1"/>
        <v>84</v>
      </c>
      <c r="AN11" s="17" t="s">
        <v>390</v>
      </c>
      <c r="AO11" s="203" t="s">
        <v>394</v>
      </c>
      <c r="AP11" s="190"/>
      <c r="AQ11" s="190"/>
    </row>
    <row r="12" spans="1:43" x14ac:dyDescent="0.2">
      <c r="A12" s="163" t="s">
        <v>303</v>
      </c>
      <c r="B12" s="163" t="s">
        <v>265</v>
      </c>
      <c r="C12" s="162" t="s">
        <v>153</v>
      </c>
      <c r="D12" s="90" t="s">
        <v>150</v>
      </c>
      <c r="E12" s="154">
        <v>1</v>
      </c>
      <c r="F12" s="154">
        <v>3</v>
      </c>
      <c r="G12" s="91">
        <v>21</v>
      </c>
      <c r="H12" s="91">
        <v>25</v>
      </c>
      <c r="I12" s="163">
        <v>17</v>
      </c>
      <c r="J12" s="163">
        <v>25</v>
      </c>
      <c r="K12" s="91">
        <v>27</v>
      </c>
      <c r="L12" s="91">
        <v>25</v>
      </c>
      <c r="M12" s="163">
        <v>25</v>
      </c>
      <c r="N12" s="163">
        <v>23</v>
      </c>
      <c r="O12" s="91">
        <v>0</v>
      </c>
      <c r="P12" s="91">
        <v>0</v>
      </c>
      <c r="Q12" s="163">
        <f t="shared" si="0"/>
        <v>90</v>
      </c>
      <c r="R12" s="163">
        <f t="shared" si="1"/>
        <v>98</v>
      </c>
      <c r="AN12" s="17" t="s">
        <v>391</v>
      </c>
      <c r="AO12" s="203" t="s">
        <v>394</v>
      </c>
      <c r="AP12" s="193" t="s">
        <v>198</v>
      </c>
      <c r="AQ12" s="190"/>
    </row>
    <row r="13" spans="1:43" x14ac:dyDescent="0.2">
      <c r="A13" s="163" t="s">
        <v>304</v>
      </c>
      <c r="B13" s="163" t="s">
        <v>265</v>
      </c>
      <c r="C13" s="90" t="s">
        <v>152</v>
      </c>
      <c r="D13" s="92" t="s">
        <v>198</v>
      </c>
      <c r="E13" s="154">
        <v>1</v>
      </c>
      <c r="F13" s="154">
        <v>3</v>
      </c>
      <c r="G13" s="91">
        <v>22</v>
      </c>
      <c r="H13" s="91">
        <v>25</v>
      </c>
      <c r="I13" s="163">
        <v>14</v>
      </c>
      <c r="J13" s="163">
        <v>25</v>
      </c>
      <c r="K13" s="91">
        <v>25</v>
      </c>
      <c r="L13" s="91">
        <v>23</v>
      </c>
      <c r="M13" s="163">
        <v>21</v>
      </c>
      <c r="N13" s="163">
        <v>25</v>
      </c>
      <c r="O13" s="91">
        <v>0</v>
      </c>
      <c r="P13" s="91">
        <v>0</v>
      </c>
      <c r="Q13" s="163">
        <f t="shared" si="0"/>
        <v>82</v>
      </c>
      <c r="R13" s="163">
        <f t="shared" si="1"/>
        <v>98</v>
      </c>
      <c r="AN13" s="17" t="s">
        <v>392</v>
      </c>
      <c r="AO13" s="192"/>
      <c r="AP13" s="190"/>
      <c r="AQ13" s="190"/>
    </row>
    <row r="14" spans="1:43" x14ac:dyDescent="0.2">
      <c r="A14" s="163" t="s">
        <v>305</v>
      </c>
      <c r="B14" s="163" t="s">
        <v>265</v>
      </c>
      <c r="C14" s="90" t="s">
        <v>150</v>
      </c>
      <c r="D14" s="92" t="s">
        <v>198</v>
      </c>
      <c r="E14" s="154">
        <v>0</v>
      </c>
      <c r="F14" s="154">
        <v>3</v>
      </c>
      <c r="G14" s="91">
        <v>20</v>
      </c>
      <c r="H14" s="91">
        <v>25</v>
      </c>
      <c r="I14" s="163">
        <v>23</v>
      </c>
      <c r="J14" s="163">
        <v>25</v>
      </c>
      <c r="K14" s="91">
        <v>18</v>
      </c>
      <c r="L14" s="91">
        <v>25</v>
      </c>
      <c r="M14" s="163">
        <v>0</v>
      </c>
      <c r="N14" s="163">
        <v>0</v>
      </c>
      <c r="O14" s="91">
        <v>0</v>
      </c>
      <c r="P14" s="91">
        <v>0</v>
      </c>
      <c r="Q14" s="163">
        <f t="shared" si="0"/>
        <v>61</v>
      </c>
      <c r="R14" s="163">
        <f t="shared" si="1"/>
        <v>75</v>
      </c>
      <c r="AN14" s="17"/>
      <c r="AO14" s="193" t="s">
        <v>198</v>
      </c>
      <c r="AP14" s="190"/>
      <c r="AQ14" s="190"/>
    </row>
    <row r="15" spans="1:43" ht="12" x14ac:dyDescent="0.2">
      <c r="A15" s="163" t="s">
        <v>306</v>
      </c>
      <c r="B15" s="163" t="s">
        <v>265</v>
      </c>
      <c r="C15" s="90" t="s">
        <v>152</v>
      </c>
      <c r="D15" s="92" t="s">
        <v>153</v>
      </c>
      <c r="E15" s="154">
        <v>3</v>
      </c>
      <c r="F15" s="154">
        <v>0</v>
      </c>
      <c r="G15" s="91">
        <v>25</v>
      </c>
      <c r="H15" s="91">
        <v>19</v>
      </c>
      <c r="I15" s="163">
        <v>25</v>
      </c>
      <c r="J15" s="163">
        <v>17</v>
      </c>
      <c r="K15" s="91">
        <v>25</v>
      </c>
      <c r="L15" s="91">
        <v>15</v>
      </c>
      <c r="M15" s="163">
        <v>0</v>
      </c>
      <c r="N15" s="163">
        <v>0</v>
      </c>
      <c r="O15" s="91">
        <v>0</v>
      </c>
      <c r="P15" s="91">
        <v>0</v>
      </c>
      <c r="Q15" s="163">
        <f t="shared" si="0"/>
        <v>75</v>
      </c>
      <c r="R15" s="163">
        <f t="shared" si="1"/>
        <v>51</v>
      </c>
    </row>
    <row r="16" spans="1:43" ht="12" x14ac:dyDescent="0.2">
      <c r="A16" s="163" t="s">
        <v>307</v>
      </c>
      <c r="B16" s="163" t="s">
        <v>308</v>
      </c>
      <c r="C16" s="162" t="s">
        <v>150</v>
      </c>
      <c r="D16" s="90" t="s">
        <v>152</v>
      </c>
      <c r="E16" s="154">
        <v>3</v>
      </c>
      <c r="F16" s="154">
        <v>0</v>
      </c>
      <c r="G16" s="91">
        <v>25</v>
      </c>
      <c r="H16" s="91">
        <v>20</v>
      </c>
      <c r="I16" s="163">
        <v>25</v>
      </c>
      <c r="J16" s="163">
        <v>19</v>
      </c>
      <c r="K16" s="91">
        <v>25</v>
      </c>
      <c r="L16" s="91">
        <v>23</v>
      </c>
      <c r="M16" s="163">
        <v>0</v>
      </c>
      <c r="N16" s="163">
        <v>0</v>
      </c>
      <c r="O16" s="91">
        <v>0</v>
      </c>
      <c r="P16" s="91">
        <v>0</v>
      </c>
      <c r="Q16" s="163">
        <f>G16+I16+K16+M16+O16</f>
        <v>75</v>
      </c>
      <c r="R16" s="163">
        <f>H16+J16+L16+N16+P16</f>
        <v>62</v>
      </c>
    </row>
    <row r="17" spans="1:18" ht="12" x14ac:dyDescent="0.2">
      <c r="A17" s="163" t="s">
        <v>309</v>
      </c>
      <c r="B17" s="163" t="s">
        <v>308</v>
      </c>
      <c r="C17" s="90" t="s">
        <v>198</v>
      </c>
      <c r="D17" s="90" t="s">
        <v>153</v>
      </c>
      <c r="E17" s="154">
        <v>3</v>
      </c>
      <c r="F17" s="154">
        <v>0</v>
      </c>
      <c r="G17" s="91">
        <v>25</v>
      </c>
      <c r="H17" s="91">
        <v>12</v>
      </c>
      <c r="I17" s="163">
        <v>31</v>
      </c>
      <c r="J17" s="163">
        <v>29</v>
      </c>
      <c r="K17" s="91">
        <v>25</v>
      </c>
      <c r="L17" s="91">
        <v>15</v>
      </c>
      <c r="M17" s="163">
        <v>0</v>
      </c>
      <c r="N17" s="163">
        <v>0</v>
      </c>
      <c r="O17" s="91">
        <v>0</v>
      </c>
      <c r="P17" s="91">
        <v>0</v>
      </c>
      <c r="Q17" s="163">
        <f t="shared" si="0"/>
        <v>81</v>
      </c>
      <c r="R17" s="163">
        <f t="shared" si="1"/>
        <v>56</v>
      </c>
    </row>
    <row r="18" spans="1:18" ht="12" x14ac:dyDescent="0.2">
      <c r="A18" s="163" t="s">
        <v>310</v>
      </c>
      <c r="B18" s="163" t="s">
        <v>308</v>
      </c>
      <c r="C18" s="162" t="s">
        <v>153</v>
      </c>
      <c r="D18" s="90" t="s">
        <v>150</v>
      </c>
      <c r="E18" s="154">
        <v>0</v>
      </c>
      <c r="F18" s="154">
        <v>3</v>
      </c>
      <c r="G18" s="91">
        <v>15</v>
      </c>
      <c r="H18" s="91">
        <v>25</v>
      </c>
      <c r="I18" s="163">
        <v>19</v>
      </c>
      <c r="J18" s="163">
        <v>25</v>
      </c>
      <c r="K18" s="91">
        <v>27</v>
      </c>
      <c r="L18" s="91">
        <v>29</v>
      </c>
      <c r="M18" s="163">
        <v>0</v>
      </c>
      <c r="N18" s="163">
        <v>0</v>
      </c>
      <c r="O18" s="91">
        <v>0</v>
      </c>
      <c r="P18" s="91">
        <v>0</v>
      </c>
      <c r="Q18" s="163">
        <f t="shared" si="0"/>
        <v>61</v>
      </c>
      <c r="R18" s="163">
        <f t="shared" si="1"/>
        <v>79</v>
      </c>
    </row>
    <row r="19" spans="1:18" ht="12" x14ac:dyDescent="0.2">
      <c r="A19" s="163" t="s">
        <v>311</v>
      </c>
      <c r="B19" s="163" t="s">
        <v>308</v>
      </c>
      <c r="C19" s="90" t="s">
        <v>152</v>
      </c>
      <c r="D19" s="92" t="s">
        <v>198</v>
      </c>
      <c r="E19" s="154">
        <v>1</v>
      </c>
      <c r="F19" s="154">
        <v>3</v>
      </c>
      <c r="G19" s="91">
        <v>13</v>
      </c>
      <c r="H19" s="91">
        <v>25</v>
      </c>
      <c r="I19" s="163">
        <v>23</v>
      </c>
      <c r="J19" s="163">
        <v>25</v>
      </c>
      <c r="K19" s="91">
        <v>25</v>
      </c>
      <c r="L19" s="91">
        <v>21</v>
      </c>
      <c r="M19" s="163">
        <v>22</v>
      </c>
      <c r="N19" s="163">
        <v>25</v>
      </c>
      <c r="O19" s="91">
        <v>0</v>
      </c>
      <c r="P19" s="91">
        <v>0</v>
      </c>
      <c r="Q19" s="163">
        <f t="shared" si="0"/>
        <v>83</v>
      </c>
      <c r="R19" s="163">
        <f t="shared" si="1"/>
        <v>96</v>
      </c>
    </row>
    <row r="20" spans="1:18" ht="12" x14ac:dyDescent="0.2">
      <c r="A20" s="163" t="s">
        <v>312</v>
      </c>
      <c r="B20" s="163" t="s">
        <v>308</v>
      </c>
      <c r="C20" s="90" t="s">
        <v>150</v>
      </c>
      <c r="D20" s="92" t="s">
        <v>198</v>
      </c>
      <c r="E20" s="154">
        <v>1</v>
      </c>
      <c r="F20" s="154">
        <v>3</v>
      </c>
      <c r="G20" s="91">
        <v>23</v>
      </c>
      <c r="H20" s="91">
        <v>25</v>
      </c>
      <c r="I20" s="163">
        <v>25</v>
      </c>
      <c r="J20" s="163">
        <v>23</v>
      </c>
      <c r="K20" s="91">
        <v>17</v>
      </c>
      <c r="L20" s="91">
        <v>25</v>
      </c>
      <c r="M20" s="163">
        <v>20</v>
      </c>
      <c r="N20" s="163">
        <v>25</v>
      </c>
      <c r="O20" s="91">
        <v>0</v>
      </c>
      <c r="P20" s="91">
        <v>0</v>
      </c>
      <c r="Q20" s="163">
        <f t="shared" si="0"/>
        <v>85</v>
      </c>
      <c r="R20" s="163">
        <f t="shared" si="1"/>
        <v>98</v>
      </c>
    </row>
    <row r="21" spans="1:18" ht="12" x14ac:dyDescent="0.2">
      <c r="A21" s="163" t="s">
        <v>313</v>
      </c>
      <c r="B21" s="163" t="s">
        <v>308</v>
      </c>
      <c r="C21" s="90" t="s">
        <v>152</v>
      </c>
      <c r="D21" s="92" t="s">
        <v>153</v>
      </c>
      <c r="E21" s="154">
        <v>3</v>
      </c>
      <c r="F21" s="154">
        <v>0</v>
      </c>
      <c r="G21" s="91">
        <v>25</v>
      </c>
      <c r="H21" s="91">
        <v>11</v>
      </c>
      <c r="I21" s="163">
        <v>25</v>
      </c>
      <c r="J21" s="163">
        <v>18</v>
      </c>
      <c r="K21" s="91">
        <v>25</v>
      </c>
      <c r="L21" s="91">
        <v>10</v>
      </c>
      <c r="M21" s="163">
        <v>0</v>
      </c>
      <c r="N21" s="163">
        <v>0</v>
      </c>
      <c r="O21" s="91">
        <v>0</v>
      </c>
      <c r="P21" s="91">
        <v>0</v>
      </c>
      <c r="Q21" s="163">
        <f t="shared" si="0"/>
        <v>75</v>
      </c>
      <c r="R21" s="163">
        <f t="shared" si="1"/>
        <v>39</v>
      </c>
    </row>
    <row r="22" spans="1:18" ht="12" x14ac:dyDescent="0.2">
      <c r="A22" s="163" t="s">
        <v>314</v>
      </c>
      <c r="B22" s="163" t="s">
        <v>315</v>
      </c>
      <c r="C22" s="90" t="s">
        <v>198</v>
      </c>
      <c r="D22" s="92" t="s">
        <v>153</v>
      </c>
      <c r="E22" s="154">
        <v>3</v>
      </c>
      <c r="F22" s="154">
        <v>0</v>
      </c>
      <c r="G22" s="91">
        <v>25</v>
      </c>
      <c r="H22" s="91">
        <v>19</v>
      </c>
      <c r="I22" s="163">
        <v>25</v>
      </c>
      <c r="J22" s="163">
        <v>12</v>
      </c>
      <c r="K22" s="91">
        <v>25</v>
      </c>
      <c r="L22" s="91">
        <v>19</v>
      </c>
      <c r="M22" s="163">
        <v>0</v>
      </c>
      <c r="N22" s="163">
        <v>0</v>
      </c>
      <c r="O22" s="91">
        <v>0</v>
      </c>
      <c r="P22" s="91">
        <v>0</v>
      </c>
      <c r="Q22" s="163">
        <f t="shared" ref="Q22:Q31" si="2">G22+I22+K22+M22+O22</f>
        <v>75</v>
      </c>
      <c r="R22" s="163">
        <f t="shared" ref="R22:R31" si="3">H22+J22+L22+N22+P22</f>
        <v>50</v>
      </c>
    </row>
    <row r="23" spans="1:18" ht="12" x14ac:dyDescent="0.2">
      <c r="A23" s="163" t="s">
        <v>316</v>
      </c>
      <c r="B23" s="163" t="s">
        <v>315</v>
      </c>
      <c r="C23" s="90" t="s">
        <v>152</v>
      </c>
      <c r="D23" s="92" t="s">
        <v>150</v>
      </c>
      <c r="E23" s="154">
        <v>2</v>
      </c>
      <c r="F23" s="154">
        <v>3</v>
      </c>
      <c r="G23" s="91">
        <v>25</v>
      </c>
      <c r="H23" s="91">
        <v>27</v>
      </c>
      <c r="I23" s="163">
        <v>25</v>
      </c>
      <c r="J23" s="163">
        <v>17</v>
      </c>
      <c r="K23" s="91">
        <v>23</v>
      </c>
      <c r="L23" s="91">
        <v>25</v>
      </c>
      <c r="M23" s="163">
        <v>20</v>
      </c>
      <c r="N23" s="163">
        <v>25</v>
      </c>
      <c r="O23" s="91">
        <v>0</v>
      </c>
      <c r="P23" s="91">
        <v>0</v>
      </c>
      <c r="Q23" s="163">
        <f t="shared" si="2"/>
        <v>93</v>
      </c>
      <c r="R23" s="163">
        <f t="shared" si="3"/>
        <v>94</v>
      </c>
    </row>
    <row r="24" spans="1:18" ht="12" x14ac:dyDescent="0.2">
      <c r="A24" s="163" t="s">
        <v>317</v>
      </c>
      <c r="B24" s="163" t="s">
        <v>315</v>
      </c>
      <c r="C24" s="90" t="s">
        <v>153</v>
      </c>
      <c r="D24" s="92" t="s">
        <v>198</v>
      </c>
      <c r="E24" s="154">
        <v>0</v>
      </c>
      <c r="F24" s="154">
        <v>3</v>
      </c>
      <c r="G24" s="91">
        <v>24</v>
      </c>
      <c r="H24" s="91">
        <v>26</v>
      </c>
      <c r="I24" s="163">
        <v>11</v>
      </c>
      <c r="J24" s="163">
        <v>25</v>
      </c>
      <c r="K24" s="91">
        <v>19</v>
      </c>
      <c r="L24" s="91">
        <v>25</v>
      </c>
      <c r="M24" s="163">
        <v>0</v>
      </c>
      <c r="N24" s="163">
        <v>0</v>
      </c>
      <c r="O24" s="91">
        <v>0</v>
      </c>
      <c r="P24" s="91">
        <v>0</v>
      </c>
      <c r="Q24" s="163">
        <f t="shared" si="2"/>
        <v>54</v>
      </c>
      <c r="R24" s="163">
        <f t="shared" si="3"/>
        <v>76</v>
      </c>
    </row>
    <row r="25" spans="1:18" ht="12" x14ac:dyDescent="0.2">
      <c r="A25" s="163" t="s">
        <v>318</v>
      </c>
      <c r="B25" s="163" t="s">
        <v>315</v>
      </c>
      <c r="C25" s="90" t="s">
        <v>150</v>
      </c>
      <c r="D25" s="92" t="s">
        <v>152</v>
      </c>
      <c r="E25" s="154">
        <v>2</v>
      </c>
      <c r="F25" s="154">
        <v>3</v>
      </c>
      <c r="G25" s="91">
        <v>25</v>
      </c>
      <c r="H25" s="91">
        <v>13</v>
      </c>
      <c r="I25" s="163">
        <v>25</v>
      </c>
      <c r="J25" s="163">
        <v>27</v>
      </c>
      <c r="K25" s="91">
        <v>25</v>
      </c>
      <c r="L25" s="91">
        <v>21</v>
      </c>
      <c r="M25" s="163">
        <v>24</v>
      </c>
      <c r="N25" s="163">
        <v>26</v>
      </c>
      <c r="O25" s="91">
        <v>5</v>
      </c>
      <c r="P25" s="91">
        <v>15</v>
      </c>
      <c r="Q25" s="163">
        <f t="shared" si="2"/>
        <v>104</v>
      </c>
      <c r="R25" s="163">
        <f t="shared" si="3"/>
        <v>102</v>
      </c>
    </row>
    <row r="26" spans="1:18" ht="12" x14ac:dyDescent="0.2">
      <c r="A26" s="163" t="s">
        <v>319</v>
      </c>
      <c r="B26" s="163" t="s">
        <v>315</v>
      </c>
      <c r="C26" s="90" t="s">
        <v>198</v>
      </c>
      <c r="D26" s="92" t="s">
        <v>153</v>
      </c>
      <c r="E26" s="206" t="s">
        <v>396</v>
      </c>
      <c r="F26" s="206" t="s">
        <v>397</v>
      </c>
      <c r="G26" s="91"/>
      <c r="H26" s="91"/>
      <c r="I26" s="210"/>
      <c r="J26" s="210"/>
      <c r="K26" s="91"/>
      <c r="L26" s="91"/>
      <c r="M26" s="210"/>
      <c r="N26" s="210"/>
      <c r="O26" s="91"/>
      <c r="P26" s="91"/>
      <c r="Q26" s="163">
        <f t="shared" si="2"/>
        <v>0</v>
      </c>
      <c r="R26" s="163">
        <f t="shared" si="3"/>
        <v>0</v>
      </c>
    </row>
    <row r="27" spans="1:18" ht="12" x14ac:dyDescent="0.2">
      <c r="A27" s="163" t="s">
        <v>320</v>
      </c>
      <c r="B27" s="163" t="s">
        <v>315</v>
      </c>
      <c r="C27" s="90" t="s">
        <v>152</v>
      </c>
      <c r="D27" s="92" t="s">
        <v>150</v>
      </c>
      <c r="E27" s="154">
        <v>3</v>
      </c>
      <c r="F27" s="154">
        <v>1</v>
      </c>
      <c r="G27" s="91">
        <v>23</v>
      </c>
      <c r="H27" s="91">
        <v>25</v>
      </c>
      <c r="I27" s="163">
        <v>25</v>
      </c>
      <c r="J27" s="163">
        <v>21</v>
      </c>
      <c r="K27" s="91">
        <v>25</v>
      </c>
      <c r="L27" s="91">
        <v>15</v>
      </c>
      <c r="M27" s="163">
        <v>25</v>
      </c>
      <c r="N27" s="163">
        <v>20</v>
      </c>
      <c r="O27" s="91">
        <v>0</v>
      </c>
      <c r="P27" s="91">
        <v>0</v>
      </c>
      <c r="Q27" s="163">
        <f t="shared" si="2"/>
        <v>98</v>
      </c>
      <c r="R27" s="163">
        <f t="shared" si="3"/>
        <v>81</v>
      </c>
    </row>
    <row r="28" spans="1:18" ht="12" x14ac:dyDescent="0.2">
      <c r="A28" s="163" t="s">
        <v>321</v>
      </c>
      <c r="B28" s="163" t="s">
        <v>194</v>
      </c>
      <c r="C28" s="90" t="s">
        <v>153</v>
      </c>
      <c r="D28" s="92" t="s">
        <v>150</v>
      </c>
      <c r="E28" s="154">
        <v>3</v>
      </c>
      <c r="F28" s="154">
        <v>0</v>
      </c>
      <c r="G28" s="91">
        <v>14</v>
      </c>
      <c r="H28" s="91">
        <v>25</v>
      </c>
      <c r="I28" s="163">
        <v>14</v>
      </c>
      <c r="J28" s="163">
        <v>25</v>
      </c>
      <c r="K28" s="91">
        <v>16</v>
      </c>
      <c r="L28" s="91">
        <v>25</v>
      </c>
      <c r="M28" s="163">
        <v>0</v>
      </c>
      <c r="N28" s="163">
        <v>0</v>
      </c>
      <c r="O28" s="91">
        <v>0</v>
      </c>
      <c r="P28" s="91">
        <v>0</v>
      </c>
      <c r="Q28" s="163">
        <f t="shared" si="2"/>
        <v>44</v>
      </c>
      <c r="R28" s="163">
        <f t="shared" si="3"/>
        <v>75</v>
      </c>
    </row>
    <row r="29" spans="1:18" ht="12" x14ac:dyDescent="0.2">
      <c r="A29" s="163" t="s">
        <v>322</v>
      </c>
      <c r="B29" s="163" t="s">
        <v>196</v>
      </c>
      <c r="C29" s="90" t="s">
        <v>198</v>
      </c>
      <c r="D29" s="92" t="s">
        <v>152</v>
      </c>
      <c r="E29" s="154">
        <v>3</v>
      </c>
      <c r="F29" s="154">
        <v>0</v>
      </c>
      <c r="G29" s="91">
        <v>25</v>
      </c>
      <c r="H29" s="91">
        <v>19</v>
      </c>
      <c r="I29" s="163">
        <v>25</v>
      </c>
      <c r="J29" s="163">
        <v>15</v>
      </c>
      <c r="K29" s="91">
        <v>25</v>
      </c>
      <c r="L29" s="91">
        <v>13</v>
      </c>
      <c r="M29" s="163">
        <v>0</v>
      </c>
      <c r="N29" s="163">
        <v>0</v>
      </c>
      <c r="O29" s="91">
        <v>0</v>
      </c>
      <c r="P29" s="91">
        <v>0</v>
      </c>
      <c r="Q29" s="163">
        <f t="shared" si="2"/>
        <v>75</v>
      </c>
      <c r="R29" s="163">
        <f t="shared" si="3"/>
        <v>47</v>
      </c>
    </row>
    <row r="30" spans="1:18" ht="12" x14ac:dyDescent="0.2">
      <c r="A30" s="163" t="s">
        <v>323</v>
      </c>
      <c r="B30" s="163" t="s">
        <v>196</v>
      </c>
      <c r="C30" s="194" t="s">
        <v>152</v>
      </c>
      <c r="D30" s="193" t="s">
        <v>198</v>
      </c>
      <c r="E30" s="154">
        <v>1</v>
      </c>
      <c r="F30" s="154">
        <v>3</v>
      </c>
      <c r="G30" s="91">
        <v>26</v>
      </c>
      <c r="H30" s="91">
        <v>24</v>
      </c>
      <c r="I30" s="163">
        <v>17</v>
      </c>
      <c r="J30" s="163">
        <v>25</v>
      </c>
      <c r="K30" s="91">
        <v>21</v>
      </c>
      <c r="L30" s="91">
        <v>25</v>
      </c>
      <c r="M30" s="163">
        <v>17</v>
      </c>
      <c r="N30" s="163">
        <v>25</v>
      </c>
      <c r="O30" s="91">
        <v>0</v>
      </c>
      <c r="P30" s="91">
        <v>0</v>
      </c>
      <c r="Q30" s="163">
        <f t="shared" si="2"/>
        <v>81</v>
      </c>
      <c r="R30" s="163">
        <f t="shared" si="3"/>
        <v>99</v>
      </c>
    </row>
    <row r="31" spans="1:18" ht="12" x14ac:dyDescent="0.2">
      <c r="A31" s="163" t="s">
        <v>324</v>
      </c>
      <c r="B31" s="163" t="s">
        <v>196</v>
      </c>
      <c r="C31" s="193" t="s">
        <v>198</v>
      </c>
      <c r="D31" s="194" t="s">
        <v>152</v>
      </c>
      <c r="E31" s="154" t="s">
        <v>396</v>
      </c>
      <c r="F31" s="154" t="s">
        <v>397</v>
      </c>
      <c r="G31" s="91"/>
      <c r="H31" s="91"/>
      <c r="I31" s="163"/>
      <c r="J31" s="163"/>
      <c r="K31" s="91"/>
      <c r="L31" s="91"/>
      <c r="M31" s="163"/>
      <c r="N31" s="163"/>
      <c r="O31" s="91"/>
      <c r="P31" s="91"/>
      <c r="Q31" s="163">
        <f t="shared" si="2"/>
        <v>0</v>
      </c>
      <c r="R31" s="163">
        <f t="shared" si="3"/>
        <v>0</v>
      </c>
    </row>
  </sheetData>
  <sheetProtection selectLockedCells="1" selectUnlockedCells="1"/>
  <sortState ref="U4:AL7">
    <sortCondition descending="1" ref="V4:V7"/>
    <sortCondition descending="1" ref="AC4:AC7"/>
    <sortCondition descending="1" ref="AF4:AF7"/>
  </sortState>
  <mergeCells count="15">
    <mergeCell ref="AG2:AL2"/>
    <mergeCell ref="E3:F3"/>
    <mergeCell ref="G3:H3"/>
    <mergeCell ref="I3:J3"/>
    <mergeCell ref="K3:L3"/>
    <mergeCell ref="M3:N3"/>
    <mergeCell ref="O3:P3"/>
    <mergeCell ref="Q3:R3"/>
    <mergeCell ref="A1:AF1"/>
    <mergeCell ref="C2:D2"/>
    <mergeCell ref="E2:F2"/>
    <mergeCell ref="G2:R2"/>
    <mergeCell ref="W2:Z2"/>
    <mergeCell ref="AA2:AC2"/>
    <mergeCell ref="AD2:A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Mini Volley Girls</vt:lpstr>
      <vt:lpstr>U13 Girls</vt:lpstr>
      <vt:lpstr>Fixtures</vt:lpstr>
      <vt:lpstr>JohnBugejaTributeWomenGames</vt:lpstr>
      <vt:lpstr>JohnBugejaTributeMenGames</vt:lpstr>
      <vt:lpstr>SuperCup Women</vt:lpstr>
      <vt:lpstr>ChristmasCupWomen</vt:lpstr>
      <vt:lpstr>ChristmasCupMen</vt:lpstr>
      <vt:lpstr>MenLeagueGames</vt:lpstr>
      <vt:lpstr>WomenLeagueGames1stRound</vt:lpstr>
      <vt:lpstr>WomenSuperLeague</vt:lpstr>
      <vt:lpstr>Women1stDivLeague</vt:lpstr>
      <vt:lpstr>WomenUnder18</vt:lpstr>
      <vt:lpstr>WomenUnder16</vt:lpstr>
      <vt:lpstr>WomenUnder14</vt:lpstr>
      <vt:lpstr>WomenNational-Fr.ParnisCup</vt:lpstr>
      <vt:lpstr>MenNational-Fr.ParnisCup</vt:lpstr>
      <vt:lpstr>WomenLeagueGames1stRound!Print_Area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Sammut</dc:creator>
  <cp:keywords/>
  <dc:description/>
  <cp:lastModifiedBy>Tony Sammut</cp:lastModifiedBy>
  <cp:revision/>
  <cp:lastPrinted>2016-04-14T12:31:30Z</cp:lastPrinted>
  <dcterms:created xsi:type="dcterms:W3CDTF">2015-09-08T08:38:35Z</dcterms:created>
  <dcterms:modified xsi:type="dcterms:W3CDTF">2016-05-29T21:36:43Z</dcterms:modified>
  <cp:category/>
  <cp:contentStatus/>
</cp:coreProperties>
</file>